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1"/>
  </bookViews>
  <sheets>
    <sheet name="Титульный лист" sheetId="1" r:id="rId1"/>
    <sheet name="2015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'2015'!$A:$A,'2015'!$5:$7</definedName>
    <definedName name="_xlnm.Print_Area" localSheetId="1">'2015'!$A$1:$AF$89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D38" authorId="0">
      <text>
        <r>
          <rPr>
            <b/>
            <sz val="9"/>
            <rFont val="Tahoma"/>
            <family val="2"/>
          </rPr>
          <t>Мартынова Снежана Владимировна:цифра равна отчету МБТ (освоение)</t>
        </r>
        <r>
          <rPr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<sst xmlns="http://schemas.openxmlformats.org/spreadsheetml/2006/main" count="556" uniqueCount="184">
  <si>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</si>
  <si>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</si>
  <si>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</si>
  <si>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</si>
  <si>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</si>
  <si>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</si>
  <si>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</si>
  <si>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</si>
  <si>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</si>
  <si>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</si>
  <si>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</si>
  <si>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</si>
  <si>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</si>
  <si>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</si>
  <si>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</si>
  <si>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</si>
  <si>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</si>
  <si>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</si>
  <si>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</si>
  <si>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</si>
  <si>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</si>
  <si>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</si>
  <si>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</si>
  <si>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</si>
  <si>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</si>
  <si>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</si>
  <si>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</si>
  <si>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</si>
  <si>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</si>
  <si>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</si>
  <si>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</si>
  <si>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</si>
  <si>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</si>
  <si>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</si>
  <si>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</si>
  <si>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</si>
  <si>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</si>
  <si>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</si>
  <si>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</si>
  <si>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</si>
  <si>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</si>
  <si>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</si>
  <si>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</si>
  <si>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</si>
  <si>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</si>
  <si>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</si>
  <si>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</si>
  <si>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</si>
  <si>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</si>
  <si>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</si>
  <si>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</si>
  <si>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</si>
  <si>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</si>
  <si>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</si>
  <si>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</si>
  <si>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</si>
  <si>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</si>
  <si>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</si>
  <si>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</si>
  <si>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</si>
  <si>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</si>
  <si>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</si>
  <si>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</si>
  <si>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</si>
  <si>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</si>
  <si>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</si>
  <si>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</si>
  <si>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</si>
  <si>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</si>
  <si>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</si>
  <si>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</si>
  <si>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</si>
  <si>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</si>
  <si>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</si>
  <si>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</si>
  <si>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</si>
  <si>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</si>
  <si>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</si>
  <si>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</si>
  <si>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</si>
  <si>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</si>
  <si>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</si>
  <si>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</si>
  <si>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</si>
  <si>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</si>
  <si>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</si>
  <si>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</si>
  <si>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</si>
  <si>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</si>
  <si>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</si>
  <si>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</si>
  <si>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</si>
  <si>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</si>
  <si>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</si>
  <si>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</si>
  <si>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</si>
  <si>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</si>
  <si>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</si>
  <si>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</si>
  <si>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</si>
  <si>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</si>
  <si>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</si>
  <si>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</si>
  <si>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</si>
  <si>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</si>
  <si>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</si>
  <si>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</si>
  <si>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</si>
  <si>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</si>
  <si>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</si>
  <si>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</si>
  <si>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</si>
  <si>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</si>
  <si>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</si>
  <si>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</si>
  <si>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</si>
  <si>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</si>
  <si>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</si>
  <si>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</si>
  <si>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</si>
  <si>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</si>
  <si>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</si>
  <si>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</si>
  <si>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</si>
  <si>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</si>
  <si>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</si>
  <si>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</si>
  <si>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</si>
  <si>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</si>
  <si>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</si>
  <si>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</si>
  <si>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</si>
  <si>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</si>
  <si>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</si>
  <si>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</si>
  <si>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</si>
  <si>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</si>
  <si>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</si>
  <si>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</si>
  <si>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</si>
  <si>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</si>
  <si>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</si>
  <si>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</si>
  <si>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</si>
  <si>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</si>
  <si>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</si>
  <si>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</si>
  <si>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</si>
  <si>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</si>
  <si>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</si>
  <si>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</si>
  <si>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</si>
  <si>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</si>
  <si>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</si>
  <si>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</si>
  <si>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</si>
  <si>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</si>
  <si>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</si>
  <si>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</si>
  <si>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</si>
  <si>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</si>
  <si>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</si>
  <si>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</si>
  <si>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</si>
  <si>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</si>
  <si>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Мартынова Снежана Владимировна, тел. 93-785</t>
  </si>
  <si>
    <t>за 2015 год</t>
  </si>
  <si>
    <t>"Содействие занятости населения города Когалыма                      на 2014-2017 годы"</t>
  </si>
  <si>
    <t>План на 2015 год</t>
  </si>
  <si>
    <t>Муниципальная программа "Содействие занятости населения города Когалыма на 2014-2017 годы"</t>
  </si>
  <si>
    <t>Зам. начальника управления экономики Администрации города Когалыма</t>
  </si>
  <si>
    <t>Ю.Л. Спиридонова</t>
  </si>
  <si>
    <t xml:space="preserve">по состоянию на 01.06.2015 </t>
  </si>
  <si>
    <r>
      <t xml:space="preserve">В конце января месяца 2015 года заключен договор "О совместной деятельности по организации временного трудоустройства граждан" с КУ ХМАО-Югры "Когалымский центр занятости". Освоение средств запланировано на июнь 2015 года. Принято </t>
    </r>
    <r>
      <rPr>
        <b/>
        <sz val="10"/>
        <color indexed="10"/>
        <rFont val="Times New Roman"/>
        <family val="1"/>
      </rPr>
      <t>688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заявлений от несовершеннолетних граждан и их законных представителей. Заключено </t>
    </r>
    <r>
      <rPr>
        <b/>
        <sz val="10"/>
        <color indexed="10"/>
        <rFont val="Times New Roman"/>
        <family val="1"/>
      </rPr>
      <t xml:space="preserve">20 </t>
    </r>
    <r>
      <rPr>
        <b/>
        <sz val="10"/>
        <rFont val="Times New Roman"/>
        <family val="1"/>
      </rPr>
      <t>договора с учреждениями о потребности в рабочей силе.</t>
    </r>
  </si>
  <si>
    <r>
      <t xml:space="preserve">С начала года оказано </t>
    </r>
    <r>
      <rPr>
        <b/>
        <sz val="10"/>
        <color indexed="10"/>
        <rFont val="Times New Roman"/>
        <family val="1"/>
      </rPr>
      <t>712</t>
    </r>
    <r>
      <rPr>
        <b/>
        <sz val="10"/>
        <rFont val="Times New Roman"/>
        <family val="1"/>
      </rPr>
      <t xml:space="preserve"> консультаций несовершеннолетним гражданам.</t>
    </r>
  </si>
  <si>
    <r>
      <t xml:space="preserve"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населения", трудоустроено </t>
    </r>
    <r>
      <rPr>
        <b/>
        <sz val="10"/>
        <color indexed="10"/>
        <rFont val="Times New Roman"/>
        <family val="1"/>
      </rPr>
      <t xml:space="preserve">125 </t>
    </r>
    <r>
      <rPr>
        <b/>
        <sz val="10"/>
        <rFont val="Times New Roman"/>
        <family val="1"/>
      </rPr>
      <t xml:space="preserve">человек. На </t>
    </r>
    <r>
      <rPr>
        <b/>
        <sz val="10"/>
        <color indexed="10"/>
        <rFont val="Times New Roman"/>
        <family val="1"/>
      </rPr>
      <t>01.06.2015</t>
    </r>
    <r>
      <rPr>
        <b/>
        <sz val="10"/>
        <rFont val="Times New Roman"/>
        <family val="1"/>
      </rPr>
      <t xml:space="preserve"> года не освоено </t>
    </r>
    <r>
      <rPr>
        <b/>
        <sz val="10"/>
        <color indexed="10"/>
        <rFont val="Times New Roman"/>
        <family val="1"/>
      </rPr>
      <t>128,02</t>
    </r>
    <r>
      <rPr>
        <b/>
        <sz val="10"/>
        <rFont val="Times New Roman"/>
        <family val="1"/>
      </rPr>
      <t xml:space="preserve"> тыс. рублей в связи с досрочным расторжением договоров по инициативе работников, освоение  средств планируется в </t>
    </r>
    <r>
      <rPr>
        <b/>
        <sz val="10"/>
        <color indexed="10"/>
        <rFont val="Times New Roman"/>
        <family val="1"/>
      </rPr>
      <t>июне</t>
    </r>
    <r>
      <rPr>
        <b/>
        <sz val="10"/>
        <rFont val="Times New Roman"/>
        <family val="1"/>
      </rPr>
      <t xml:space="preserve"> 2015 года после подписания актов выполненных работ.</t>
    </r>
  </si>
  <si>
    <r>
      <t xml:space="preserve">Заключено </t>
    </r>
    <r>
      <rPr>
        <b/>
        <sz val="10"/>
        <color indexed="10"/>
        <rFont val="Times New Roman"/>
        <family val="1"/>
      </rPr>
      <t>3</t>
    </r>
    <r>
      <rPr>
        <b/>
        <sz val="10"/>
        <rFont val="Times New Roman"/>
        <family val="1"/>
      </rPr>
      <t xml:space="preserve"> договора на оснащение рабочих мест для инвалидов. </t>
    </r>
  </si>
  <si>
    <r>
      <t xml:space="preserve">На </t>
    </r>
    <r>
      <rPr>
        <b/>
        <sz val="10"/>
        <color indexed="10"/>
        <rFont val="Times New Roman"/>
        <family val="1"/>
      </rPr>
      <t>01.06.2015</t>
    </r>
    <r>
      <rPr>
        <b/>
        <sz val="10"/>
        <rFont val="Times New Roman"/>
        <family val="1"/>
      </rPr>
      <t xml:space="preserve"> года не освоение денежных средств составляет </t>
    </r>
    <r>
      <rPr>
        <b/>
        <sz val="10"/>
        <color indexed="10"/>
        <rFont val="Times New Roman"/>
        <family val="1"/>
      </rPr>
      <t>279,97</t>
    </r>
    <r>
      <rPr>
        <b/>
        <sz val="10"/>
        <rFont val="Times New Roman"/>
        <family val="1"/>
      </rPr>
      <t xml:space="preserve"> тыс. руб. в связи стем, что фактическая сумма выставленная поставщиками по услугам меньше планов (по услугам связи, расходов на содержание имущества).   </t>
    </r>
  </si>
  <si>
    <t xml:space="preserve">В апреле 2015 года проведен запрос котировок, заключен контракт. Товар поставлен и оплачен.  </t>
  </si>
  <si>
    <r>
      <t xml:space="preserve">Разработано и утверждено постановление о проведении 1 муниципального этапа конкурса и о конкурсной комиссии. Приобретены подарки для победителей кокурса. Принято </t>
    </r>
    <r>
      <rPr>
        <b/>
        <sz val="10"/>
        <color indexed="10"/>
        <rFont val="Times New Roman"/>
        <family val="1"/>
      </rPr>
      <t xml:space="preserve">10 </t>
    </r>
    <r>
      <rPr>
        <b/>
        <sz val="10"/>
        <rFont val="Times New Roman"/>
        <family val="1"/>
      </rPr>
      <t>заявок от организаций желающих принять участие в конкурсе.</t>
    </r>
  </si>
  <si>
    <r>
      <t xml:space="preserve">Не освоено </t>
    </r>
    <r>
      <rPr>
        <b/>
        <sz val="10"/>
        <color indexed="10"/>
        <rFont val="Times New Roman"/>
        <family val="1"/>
      </rPr>
      <t xml:space="preserve">478,95 </t>
    </r>
    <r>
      <rPr>
        <b/>
        <sz val="10"/>
        <rFont val="Times New Roman"/>
        <family val="1"/>
      </rPr>
      <t>тыс.руб., в связи с предоставленными несовершеннолетними по факту авансовыми отчетами на прохождение мед.осмотра. Оплата за поставленный товар на приобретение медикаментов, перевязочных материалов, жилетов сигнальных, бейсболок, плащей, журналов пройдет в июне 2015 года.</t>
    </r>
  </si>
  <si>
    <r>
      <t xml:space="preserve">Заключено </t>
    </r>
    <r>
      <rPr>
        <b/>
        <sz val="10"/>
        <color indexed="10"/>
        <rFont val="Times New Roman"/>
        <family val="1"/>
      </rPr>
      <t>63</t>
    </r>
    <r>
      <rPr>
        <b/>
        <sz val="10"/>
        <rFont val="Times New Roman"/>
        <family val="1"/>
      </rPr>
      <t xml:space="preserve"> договора с внештатными сотрудниками</t>
    </r>
    <r>
      <rPr>
        <b/>
        <sz val="10"/>
        <rFont val="Times New Roman"/>
        <family val="1"/>
      </rPr>
      <t>.</t>
    </r>
  </si>
  <si>
    <r>
      <t>Принято</t>
    </r>
    <r>
      <rPr>
        <b/>
        <sz val="10"/>
        <color indexed="10"/>
        <rFont val="Times New Roman"/>
        <family val="1"/>
      </rPr>
      <t xml:space="preserve"> 6</t>
    </r>
    <r>
      <rPr>
        <b/>
        <sz val="10"/>
        <rFont val="Times New Roman"/>
        <family val="1"/>
      </rPr>
      <t xml:space="preserve"> заявлений от несовершеннолетних граждан из числа желающих трудоустроиться. С </t>
    </r>
    <r>
      <rPr>
        <b/>
        <sz val="10"/>
        <color indexed="10"/>
        <rFont val="Times New Roman"/>
        <family val="1"/>
      </rPr>
      <t xml:space="preserve">3 </t>
    </r>
    <r>
      <rPr>
        <b/>
        <sz val="10"/>
        <rFont val="Times New Roman"/>
        <family val="1"/>
      </rPr>
      <t xml:space="preserve">учреждениями заключены договора о сотрудничестве. Заключено </t>
    </r>
    <r>
      <rPr>
        <b/>
        <sz val="10"/>
        <color indexed="10"/>
        <rFont val="Times New Roman"/>
        <family val="1"/>
      </rPr>
      <t>6</t>
    </r>
    <r>
      <rPr>
        <b/>
        <sz val="10"/>
        <rFont val="Times New Roman"/>
        <family val="1"/>
      </rPr>
      <t xml:space="preserve"> срочных трудовых договора с несовершеннолетними. На </t>
    </r>
    <r>
      <rPr>
        <b/>
        <sz val="10"/>
        <color indexed="10"/>
        <rFont val="Times New Roman"/>
        <family val="1"/>
      </rPr>
      <t>01.06.2015</t>
    </r>
    <r>
      <rPr>
        <b/>
        <sz val="10"/>
        <rFont val="Times New Roman"/>
        <family val="1"/>
      </rPr>
      <t xml:space="preserve"> года не освоены средства в размере </t>
    </r>
    <r>
      <rPr>
        <b/>
        <sz val="10"/>
        <color indexed="10"/>
        <rFont val="Times New Roman"/>
        <family val="1"/>
      </rPr>
      <t>161,6</t>
    </r>
    <r>
      <rPr>
        <b/>
        <sz val="10"/>
        <rFont val="Times New Roman"/>
        <family val="1"/>
      </rPr>
      <t xml:space="preserve"> тыс.руб. в связи долгим прохождением мед.осмотра несовершеннолетними гражданами. Денежные средства будут освоены в </t>
    </r>
    <r>
      <rPr>
        <b/>
        <sz val="10"/>
        <color indexed="10"/>
        <rFont val="Times New Roman"/>
        <family val="1"/>
      </rPr>
      <t>июне</t>
    </r>
    <r>
      <rPr>
        <b/>
        <sz val="10"/>
        <rFont val="Times New Roman"/>
        <family val="1"/>
      </rPr>
      <t xml:space="preserve">  2015 года. По состоянию на отчетную дату отсутствуют несовершеннолетние граждане данной категории, состоящие на учете в ЦЗН.</t>
    </r>
  </si>
  <si>
    <r>
      <t xml:space="preserve">Поступило </t>
    </r>
    <r>
      <rPr>
        <b/>
        <sz val="10"/>
        <color indexed="10"/>
        <rFont val="Times New Roman"/>
        <family val="1"/>
      </rPr>
      <t>10</t>
    </r>
    <r>
      <rPr>
        <b/>
        <sz val="10"/>
        <rFont val="Times New Roman"/>
        <family val="1"/>
      </rPr>
      <t xml:space="preserve"> заявок от учреждений и организаций города о потребности в рабочей силе, заключены договора о сотрудничестве. С несовершеннолетними гражданами и их законными представителями заключено </t>
    </r>
    <r>
      <rPr>
        <b/>
        <sz val="10"/>
        <color indexed="10"/>
        <rFont val="Times New Roman"/>
        <family val="1"/>
      </rPr>
      <t>3</t>
    </r>
    <r>
      <rPr>
        <b/>
        <sz val="10"/>
        <color indexed="10"/>
        <rFont val="Times New Roman"/>
        <family val="1"/>
      </rPr>
      <t xml:space="preserve">4 </t>
    </r>
    <r>
      <rPr>
        <b/>
        <sz val="10"/>
        <rFont val="Times New Roman"/>
        <family val="1"/>
      </rPr>
      <t>срочных трудовых договора по специальности "Оператор ЭВМ".  По состоянию на 01.</t>
    </r>
    <r>
      <rPr>
        <b/>
        <sz val="10"/>
        <color indexed="10"/>
        <rFont val="Times New Roman"/>
        <family val="1"/>
      </rPr>
      <t>06</t>
    </r>
    <r>
      <rPr>
        <b/>
        <sz val="10"/>
        <rFont val="Times New Roman"/>
        <family val="1"/>
      </rPr>
      <t xml:space="preserve">.2015 года не освоены средства в размере </t>
    </r>
    <r>
      <rPr>
        <b/>
        <sz val="10"/>
        <color indexed="10"/>
        <rFont val="Times New Roman"/>
        <family val="1"/>
      </rPr>
      <t>72,71</t>
    </r>
    <r>
      <rPr>
        <b/>
        <sz val="10"/>
        <rFont val="Times New Roman"/>
        <family val="1"/>
      </rPr>
      <t xml:space="preserve"> тыс.руб. в связи неполным отработанным рабочим временем несовершеннолетними гражданами. Денежные средства будут освоены в октябре  2015 года  за счет увеличения количества временных рабочих мест.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</si>
</sst>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174" fontId="76" fillId="0" borderId="0" xfId="0" applyNumberFormat="1" applyFont="1" applyFill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173" fontId="77" fillId="0" borderId="0" xfId="0" applyNumberFormat="1" applyFont="1" applyFill="1" applyBorder="1" applyAlignment="1">
      <alignment vertical="center" wrapText="1"/>
    </xf>
    <xf numFmtId="188" fontId="77" fillId="0" borderId="0" xfId="0" applyNumberFormat="1" applyFont="1" applyFill="1" applyBorder="1" applyAlignment="1">
      <alignment vertical="center" wrapText="1"/>
    </xf>
    <xf numFmtId="173" fontId="77" fillId="31" borderId="0" xfId="0" applyNumberFormat="1" applyFont="1" applyFill="1" applyBorder="1" applyAlignment="1">
      <alignment vertical="center" wrapText="1"/>
    </xf>
    <xf numFmtId="188" fontId="77" fillId="31" borderId="0" xfId="0" applyNumberFormat="1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7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0" fontId="80" fillId="0" borderId="0" xfId="0" applyFont="1" applyFill="1" applyAlignment="1">
      <alignment horizontal="center" vertical="center" wrapText="1"/>
    </xf>
    <xf numFmtId="174" fontId="79" fillId="0" borderId="0" xfId="0" applyNumberFormat="1" applyFont="1" applyFill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188" fontId="80" fillId="0" borderId="0" xfId="0" applyNumberFormat="1" applyFont="1" applyFill="1" applyBorder="1" applyAlignment="1">
      <alignment vertical="center" wrapText="1"/>
    </xf>
    <xf numFmtId="0" fontId="80" fillId="0" borderId="0" xfId="0" applyFont="1" applyFill="1" applyAlignment="1">
      <alignment vertical="center" wrapText="1"/>
    </xf>
    <xf numFmtId="173" fontId="79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20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80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80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9">
      <selection activeCell="N15" sqref="N15"/>
    </sheetView>
  </sheetViews>
  <sheetFormatPr defaultColWidth="9.140625" defaultRowHeight="12.75"/>
  <cols>
    <col min="1" max="16384" width="9.140625" style="25" customWidth="1"/>
  </cols>
  <sheetData>
    <row r="1" spans="1:2" ht="18.75">
      <c r="A1" s="166"/>
      <c r="B1" s="166"/>
    </row>
    <row r="10" spans="1:9" ht="23.25">
      <c r="A10" s="167" t="s">
        <v>34</v>
      </c>
      <c r="B10" s="167"/>
      <c r="C10" s="167"/>
      <c r="D10" s="167"/>
      <c r="E10" s="167"/>
      <c r="F10" s="167"/>
      <c r="G10" s="167"/>
      <c r="H10" s="167"/>
      <c r="I10" s="167"/>
    </row>
    <row r="11" spans="1:9" ht="23.25">
      <c r="A11" s="167" t="s">
        <v>28</v>
      </c>
      <c r="B11" s="167"/>
      <c r="C11" s="167"/>
      <c r="D11" s="167"/>
      <c r="E11" s="167"/>
      <c r="F11" s="167"/>
      <c r="G11" s="167"/>
      <c r="H11" s="167"/>
      <c r="I11" s="167"/>
    </row>
    <row r="13" spans="1:9" ht="27" customHeight="1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</row>
    <row r="14" spans="1:9" ht="27" customHeight="1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</row>
    <row r="15" spans="1:9" ht="51.75" customHeight="1">
      <c r="A15" s="169" t="s">
        <v>167</v>
      </c>
      <c r="B15" s="169"/>
      <c r="C15" s="169"/>
      <c r="D15" s="169"/>
      <c r="E15" s="169"/>
      <c r="F15" s="169"/>
      <c r="G15" s="169"/>
      <c r="H15" s="169"/>
      <c r="I15" s="169"/>
    </row>
    <row r="17" spans="1:9" ht="19.5">
      <c r="A17" s="168" t="s">
        <v>166</v>
      </c>
      <c r="B17" s="168"/>
      <c r="C17" s="168"/>
      <c r="D17" s="168"/>
      <c r="E17" s="168"/>
      <c r="F17" s="168"/>
      <c r="G17" s="168"/>
      <c r="H17" s="168"/>
      <c r="I17" s="168"/>
    </row>
    <row r="19" spans="1:9" ht="12.75">
      <c r="A19" s="164" t="s">
        <v>172</v>
      </c>
      <c r="B19" s="164"/>
      <c r="C19" s="164"/>
      <c r="D19" s="164"/>
      <c r="E19" s="164"/>
      <c r="F19" s="164"/>
      <c r="G19" s="164"/>
      <c r="H19" s="164"/>
      <c r="I19" s="164"/>
    </row>
    <row r="46" spans="1:9" ht="16.5">
      <c r="A46" s="165" t="s">
        <v>31</v>
      </c>
      <c r="B46" s="165"/>
      <c r="C46" s="165"/>
      <c r="D46" s="165"/>
      <c r="E46" s="165"/>
      <c r="F46" s="165"/>
      <c r="G46" s="165"/>
      <c r="H46" s="165"/>
      <c r="I46" s="165"/>
    </row>
    <row r="47" spans="1:9" ht="16.5">
      <c r="A47" s="165" t="s">
        <v>49</v>
      </c>
      <c r="B47" s="165"/>
      <c r="C47" s="165"/>
      <c r="D47" s="165"/>
      <c r="E47" s="165"/>
      <c r="F47" s="165"/>
      <c r="G47" s="165"/>
      <c r="H47" s="165"/>
      <c r="I47" s="165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Normal="70" zoomScaleSheetLayoutView="100" zoomScalePageLayoutView="0" workbookViewId="0" topLeftCell="A1">
      <pane xSplit="1" ySplit="6" topLeftCell="W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25" sqref="AD25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70"/>
      <c r="P2" s="170"/>
      <c r="Q2" s="170"/>
      <c r="R2" s="170"/>
      <c r="S2" s="170"/>
    </row>
    <row r="3" spans="1:32" ht="26.25" customHeight="1">
      <c r="A3" s="23"/>
      <c r="O3" s="171"/>
      <c r="P3" s="171"/>
      <c r="Q3" s="171"/>
      <c r="R3" s="171"/>
      <c r="S3" s="171"/>
      <c r="AF3" s="8"/>
    </row>
    <row r="4" spans="1:34" s="9" customFormat="1" ht="6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72" t="s">
        <v>5</v>
      </c>
      <c r="B5" s="173" t="s">
        <v>168</v>
      </c>
      <c r="C5" s="173" t="s">
        <v>19</v>
      </c>
      <c r="D5" s="173" t="s">
        <v>150</v>
      </c>
      <c r="E5" s="173" t="s">
        <v>20</v>
      </c>
      <c r="F5" s="176" t="s">
        <v>15</v>
      </c>
      <c r="G5" s="176"/>
      <c r="H5" s="176" t="s">
        <v>0</v>
      </c>
      <c r="I5" s="176"/>
      <c r="J5" s="176" t="s">
        <v>1</v>
      </c>
      <c r="K5" s="176"/>
      <c r="L5" s="176" t="s">
        <v>2</v>
      </c>
      <c r="M5" s="176"/>
      <c r="N5" s="176" t="s">
        <v>3</v>
      </c>
      <c r="O5" s="176"/>
      <c r="P5" s="176" t="s">
        <v>4</v>
      </c>
      <c r="Q5" s="176"/>
      <c r="R5" s="176" t="s">
        <v>6</v>
      </c>
      <c r="S5" s="176"/>
      <c r="T5" s="108" t="s">
        <v>7</v>
      </c>
      <c r="U5" s="108" t="s">
        <v>7</v>
      </c>
      <c r="V5" s="176" t="s">
        <v>8</v>
      </c>
      <c r="W5" s="176"/>
      <c r="X5" s="176" t="s">
        <v>9</v>
      </c>
      <c r="Y5" s="176"/>
      <c r="Z5" s="176" t="s">
        <v>10</v>
      </c>
      <c r="AA5" s="176"/>
      <c r="AB5" s="176" t="s">
        <v>11</v>
      </c>
      <c r="AC5" s="176"/>
      <c r="AD5" s="176" t="s">
        <v>12</v>
      </c>
      <c r="AE5" s="176"/>
      <c r="AF5" s="172" t="s">
        <v>21</v>
      </c>
      <c r="AH5" s="95"/>
    </row>
    <row r="6" spans="1:34" s="13" customFormat="1" ht="72.75" customHeight="1">
      <c r="A6" s="172"/>
      <c r="B6" s="174"/>
      <c r="C6" s="174"/>
      <c r="D6" s="175"/>
      <c r="E6" s="174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72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169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116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117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77" t="s">
        <v>173</v>
      </c>
      <c r="AH13" s="98"/>
    </row>
    <row r="14" spans="1:34" s="18" customFormat="1" ht="18.75">
      <c r="A14" s="117" t="s">
        <v>32</v>
      </c>
      <c r="B14" s="127">
        <f>B15+B16</f>
        <v>5520.2</v>
      </c>
      <c r="C14" s="127">
        <f>C15+C16</f>
        <v>0</v>
      </c>
      <c r="D14" s="127">
        <f>D15+D16</f>
        <v>0</v>
      </c>
      <c r="E14" s="127">
        <f>E15+E16</f>
        <v>0</v>
      </c>
      <c r="F14" s="136">
        <f>E14/B14</f>
        <v>0</v>
      </c>
      <c r="G14" s="136">
        <v>0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1840.14702</v>
      </c>
      <c r="S14" s="128">
        <f t="shared" si="0"/>
        <v>0</v>
      </c>
      <c r="T14" s="128">
        <f t="shared" si="0"/>
        <v>1840.04649</v>
      </c>
      <c r="U14" s="128">
        <f t="shared" si="0"/>
        <v>0</v>
      </c>
      <c r="V14" s="128">
        <f t="shared" si="0"/>
        <v>1840.0064899999998</v>
      </c>
      <c r="W14" s="128">
        <f t="shared" si="0"/>
        <v>0</v>
      </c>
      <c r="X14" s="128">
        <f t="shared" si="0"/>
        <v>0</v>
      </c>
      <c r="Y14" s="128">
        <f t="shared" si="0"/>
        <v>0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78"/>
      <c r="AH14" s="98"/>
    </row>
    <row r="15" spans="1:34" s="152" customFormat="1" ht="18.75">
      <c r="A15" s="148" t="s">
        <v>24</v>
      </c>
      <c r="B15" s="149">
        <f>H15+J15+L15+N15+P15+R15+T15+V15+X15+Z15+AB15+AD15</f>
        <v>840</v>
      </c>
      <c r="C15" s="150">
        <f>H15</f>
        <v>0</v>
      </c>
      <c r="D15" s="150">
        <f>I15</f>
        <v>0</v>
      </c>
      <c r="E15" s="150">
        <f>I15+K15+M15+O15+Q15+S15+U15+W15+Y15+AA15+AC15+AE15</f>
        <v>0</v>
      </c>
      <c r="F15" s="151">
        <f>E15/B15</f>
        <v>0</v>
      </c>
      <c r="G15" s="151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f>262660/1000</f>
        <v>262.66</v>
      </c>
      <c r="S15" s="150">
        <v>0</v>
      </c>
      <c r="T15" s="150">
        <f>47075/1000</f>
        <v>47.075</v>
      </c>
      <c r="U15" s="150">
        <v>0</v>
      </c>
      <c r="V15" s="150">
        <f>530265/1000</f>
        <v>530.265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78"/>
      <c r="AH15" s="153"/>
    </row>
    <row r="16" spans="1:34" s="152" customFormat="1" ht="54.75" customHeight="1">
      <c r="A16" s="148" t="s">
        <v>25</v>
      </c>
      <c r="B16" s="149">
        <f>H16+J16+L16+N16+P16+R16+T16+V16+X16+Z16+AB16+AD16</f>
        <v>4680.2</v>
      </c>
      <c r="C16" s="150">
        <f>H16</f>
        <v>0</v>
      </c>
      <c r="D16" s="150">
        <v>0</v>
      </c>
      <c r="E16" s="150">
        <f>I16+K16+M16+O16+Q16+S16+U16+W16+Y16+AA16+AC16+AE16</f>
        <v>0</v>
      </c>
      <c r="F16" s="151">
        <f>E16/B16</f>
        <v>0</v>
      </c>
      <c r="G16" s="151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1577487.02/1000</f>
        <v>1577.48702</v>
      </c>
      <c r="S16" s="150"/>
      <c r="T16" s="150">
        <f>1792971.49/1000</f>
        <v>1792.97149</v>
      </c>
      <c r="U16" s="150">
        <v>0</v>
      </c>
      <c r="V16" s="150">
        <f>1309741.49/1000</f>
        <v>1309.7414899999999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79"/>
      <c r="AH16" s="153"/>
    </row>
    <row r="17" spans="1:34" s="18" customFormat="1" ht="76.5" customHeight="1">
      <c r="A17" s="46" t="s">
        <v>118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77" t="s">
        <v>183</v>
      </c>
      <c r="AH17" s="98"/>
    </row>
    <row r="18" spans="1:34" s="18" customFormat="1" ht="18.75" customHeight="1">
      <c r="A18" s="117" t="s">
        <v>32</v>
      </c>
      <c r="B18" s="127">
        <f>B20+B19</f>
        <v>644</v>
      </c>
      <c r="C18" s="127">
        <f>C20+C19</f>
        <v>367.99300999999997</v>
      </c>
      <c r="D18" s="127">
        <f>D20+D19</f>
        <v>332.38367000000005</v>
      </c>
      <c r="E18" s="127">
        <f>E20+E19</f>
        <v>295.28</v>
      </c>
      <c r="F18" s="136">
        <f>E18/B18</f>
        <v>0.4585093167701863</v>
      </c>
      <c r="G18" s="136">
        <f aca="true" t="shared" si="1" ref="G18:G24">E18/C18</f>
        <v>0.8024065457112894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99.97375</v>
      </c>
      <c r="M18" s="127">
        <f t="shared" si="2"/>
        <v>45.25</v>
      </c>
      <c r="N18" s="127">
        <f t="shared" si="2"/>
        <v>100.01803</v>
      </c>
      <c r="O18" s="127">
        <f t="shared" si="2"/>
        <v>98.22999999999999</v>
      </c>
      <c r="P18" s="127">
        <f t="shared" si="2"/>
        <v>100.02203</v>
      </c>
      <c r="Q18" s="127">
        <f t="shared" si="2"/>
        <v>110.86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92.00233</v>
      </c>
      <c r="Y18" s="127">
        <f t="shared" si="2"/>
        <v>0</v>
      </c>
      <c r="Z18" s="127">
        <f t="shared" si="2"/>
        <v>92.00233</v>
      </c>
      <c r="AA18" s="127">
        <f t="shared" si="2"/>
        <v>0</v>
      </c>
      <c r="AB18" s="127">
        <f t="shared" si="2"/>
        <v>92.00233</v>
      </c>
      <c r="AC18" s="127">
        <f t="shared" si="2"/>
        <v>0</v>
      </c>
      <c r="AD18" s="127">
        <f t="shared" si="2"/>
        <v>0</v>
      </c>
      <c r="AE18" s="127">
        <f t="shared" si="2"/>
        <v>0</v>
      </c>
      <c r="AF18" s="178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98</v>
      </c>
      <c r="C19" s="150">
        <f>H19+J19+L19+N19+P19</f>
        <v>56</v>
      </c>
      <c r="D19" s="150">
        <f>20390.66/1000</f>
        <v>20.39066</v>
      </c>
      <c r="E19" s="150">
        <f>I19+K19+M19+O19+Q19+S19+U19+W19+Y19+AA19+AC19+AE19</f>
        <v>20.39</v>
      </c>
      <c r="F19" s="151">
        <f>E19/B19</f>
        <v>0.20806122448979592</v>
      </c>
      <c r="G19" s="151">
        <f>E19/C19</f>
        <v>0.36410714285714285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17786.66/1000</f>
        <v>17.78666</v>
      </c>
      <c r="M19" s="150">
        <v>3.21</v>
      </c>
      <c r="N19" s="150">
        <f>17798.67/1000</f>
        <v>17.798669999999998</v>
      </c>
      <c r="O19" s="150">
        <v>15.18</v>
      </c>
      <c r="P19" s="150">
        <f>17810.67/1000</f>
        <v>17.81067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14000/1000</f>
        <v>14</v>
      </c>
      <c r="Y19" s="150">
        <v>0</v>
      </c>
      <c r="Z19" s="150">
        <f>14000/1000</f>
        <v>14</v>
      </c>
      <c r="AA19" s="150">
        <v>0</v>
      </c>
      <c r="AB19" s="150">
        <f>14000/1000</f>
        <v>14</v>
      </c>
      <c r="AC19" s="150">
        <v>0</v>
      </c>
      <c r="AD19" s="150">
        <v>0</v>
      </c>
      <c r="AE19" s="150">
        <v>0</v>
      </c>
      <c r="AF19" s="178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546</v>
      </c>
      <c r="C20" s="150">
        <f>H20+J20+L20+N20+P20</f>
        <v>311.99300999999997</v>
      </c>
      <c r="D20" s="150">
        <f>311993.01/1000</f>
        <v>311.99301</v>
      </c>
      <c r="E20" s="150">
        <f>I20+K20+M20+O20+Q20+S20+U20+W20+Y20+AA20+AC20+AE20</f>
        <v>274.89</v>
      </c>
      <c r="F20" s="151">
        <f>E20/B20</f>
        <v>0.5034615384615384</v>
      </c>
      <c r="G20" s="151">
        <f t="shared" si="1"/>
        <v>0.8810774318309247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82187.09/1000</f>
        <v>82.18709</v>
      </c>
      <c r="M20" s="150">
        <v>42.04</v>
      </c>
      <c r="N20" s="150">
        <f>82219.36/1000</f>
        <v>82.21936</v>
      </c>
      <c r="O20" s="150">
        <v>83.05</v>
      </c>
      <c r="P20" s="150">
        <f>82211.36/1000</f>
        <v>82.21136</v>
      </c>
      <c r="Q20" s="150">
        <v>110.86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78002.33/1000</f>
        <v>78.00233</v>
      </c>
      <c r="Y20" s="150">
        <v>0</v>
      </c>
      <c r="Z20" s="150">
        <f>78002.33/1000</f>
        <v>78.00233</v>
      </c>
      <c r="AA20" s="150">
        <v>0</v>
      </c>
      <c r="AB20" s="150">
        <f>78002.33/1000</f>
        <v>78.00233</v>
      </c>
      <c r="AC20" s="150">
        <v>0</v>
      </c>
      <c r="AD20" s="150">
        <v>0</v>
      </c>
      <c r="AE20" s="150">
        <v>0</v>
      </c>
      <c r="AF20" s="179"/>
      <c r="AG20" s="154"/>
      <c r="AH20" s="153"/>
    </row>
    <row r="21" spans="1:34" s="18" customFormat="1" ht="75" customHeight="1">
      <c r="A21" s="45" t="s">
        <v>119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80" t="s">
        <v>182</v>
      </c>
      <c r="AH21" s="98"/>
    </row>
    <row r="22" spans="1:34" s="18" customFormat="1" ht="20.25">
      <c r="A22" s="117" t="s">
        <v>32</v>
      </c>
      <c r="B22" s="127">
        <f>B23+B24</f>
        <v>788.5999999999999</v>
      </c>
      <c r="C22" s="127">
        <f>C23+C24</f>
        <v>315.34515999999996</v>
      </c>
      <c r="D22" s="127">
        <f>D23+D24</f>
        <v>270.74915999999996</v>
      </c>
      <c r="E22" s="127">
        <f>E23+E24</f>
        <v>153.75</v>
      </c>
      <c r="F22" s="136">
        <f>E22/B22</f>
        <v>0.1949657621100685</v>
      </c>
      <c r="G22" s="136">
        <f t="shared" si="1"/>
        <v>0.48756099506965644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33.73655</v>
      </c>
      <c r="K22" s="128">
        <f t="shared" si="3"/>
        <v>7.22</v>
      </c>
      <c r="L22" s="128">
        <f t="shared" si="3"/>
        <v>92.03535</v>
      </c>
      <c r="M22" s="128">
        <f t="shared" si="3"/>
        <v>48.6</v>
      </c>
      <c r="N22" s="128">
        <f t="shared" si="3"/>
        <v>68.34758</v>
      </c>
      <c r="O22" s="128">
        <f t="shared" si="3"/>
        <v>74.18</v>
      </c>
      <c r="P22" s="128">
        <f t="shared" si="3"/>
        <v>89.42568</v>
      </c>
      <c r="Q22" s="128">
        <f t="shared" si="3"/>
        <v>23.75</v>
      </c>
      <c r="R22" s="128">
        <f t="shared" si="3"/>
        <v>68.34458</v>
      </c>
      <c r="S22" s="128">
        <f t="shared" si="3"/>
        <v>0</v>
      </c>
      <c r="T22" s="128">
        <f t="shared" si="3"/>
        <v>89.37369</v>
      </c>
      <c r="U22" s="128">
        <f t="shared" si="3"/>
        <v>0</v>
      </c>
      <c r="V22" s="128">
        <f t="shared" si="3"/>
        <v>68.34459</v>
      </c>
      <c r="W22" s="128">
        <f t="shared" si="3"/>
        <v>0</v>
      </c>
      <c r="X22" s="128">
        <f t="shared" si="3"/>
        <v>89.37369</v>
      </c>
      <c r="Y22" s="128">
        <f t="shared" si="3"/>
        <v>0</v>
      </c>
      <c r="Z22" s="128">
        <f t="shared" si="3"/>
        <v>70.38833</v>
      </c>
      <c r="AA22" s="128">
        <f t="shared" si="3"/>
        <v>0</v>
      </c>
      <c r="AB22" s="128">
        <f t="shared" si="3"/>
        <v>87.42996</v>
      </c>
      <c r="AC22" s="128">
        <f t="shared" si="3"/>
        <v>0</v>
      </c>
      <c r="AD22" s="128">
        <f t="shared" si="3"/>
        <v>0</v>
      </c>
      <c r="AE22" s="128">
        <f t="shared" si="3"/>
        <v>0</v>
      </c>
      <c r="AF22" s="181"/>
      <c r="AG22" s="92"/>
      <c r="AH22" s="99">
        <f>AH23+AH24</f>
        <v>788.5999999999999</v>
      </c>
    </row>
    <row r="23" spans="1:34" s="152" customFormat="1" ht="20.25" customHeight="1">
      <c r="A23" s="148" t="s">
        <v>24</v>
      </c>
      <c r="B23" s="149">
        <f>H23+J23+L23+N23+P23+R23+T23+V23+X23+Z23+AB23+AD23</f>
        <v>477.29999999999995</v>
      </c>
      <c r="C23" s="150">
        <f>H23+J23+L23+N23+P23</f>
        <v>178.136</v>
      </c>
      <c r="D23" s="150">
        <f>133540/1000</f>
        <v>133.54</v>
      </c>
      <c r="E23" s="150">
        <f>I23+K23+M23+O23+Q23+S23+U23+W23+Y23+AA23+AC23+AE23</f>
        <v>133.24</v>
      </c>
      <c r="F23" s="151">
        <f>E23/B23</f>
        <v>0.279153572176828</v>
      </c>
      <c r="G23" s="151">
        <f>E23/C23</f>
        <v>0.7479678447927427</v>
      </c>
      <c r="H23" s="150">
        <v>0</v>
      </c>
      <c r="I23" s="150">
        <v>0</v>
      </c>
      <c r="J23" s="150">
        <f>33736.55/1000</f>
        <v>33.73655</v>
      </c>
      <c r="K23" s="150">
        <v>7.22</v>
      </c>
      <c r="L23" s="150">
        <f>55259.45/1000</f>
        <v>55.259449999999994</v>
      </c>
      <c r="M23" s="150">
        <v>48.6</v>
      </c>
      <c r="N23" s="150">
        <f>44544/1000</f>
        <v>44.544</v>
      </c>
      <c r="O23" s="150">
        <v>72.45</v>
      </c>
      <c r="P23" s="150">
        <f>44596/1000</f>
        <v>44.596</v>
      </c>
      <c r="Q23" s="150">
        <v>4.97</v>
      </c>
      <c r="R23" s="150">
        <f>44544/1000</f>
        <v>44.544</v>
      </c>
      <c r="S23" s="150">
        <v>0</v>
      </c>
      <c r="T23" s="150">
        <f>44544/1000</f>
        <v>44.544</v>
      </c>
      <c r="U23" s="150">
        <v>0</v>
      </c>
      <c r="V23" s="150">
        <f>44544/1000</f>
        <v>44.544</v>
      </c>
      <c r="W23" s="150">
        <v>0</v>
      </c>
      <c r="X23" s="150">
        <f>44544/1000</f>
        <v>44.544</v>
      </c>
      <c r="Y23" s="150">
        <v>0</v>
      </c>
      <c r="Z23" s="150">
        <f>46587.74/1000</f>
        <v>46.58774</v>
      </c>
      <c r="AA23" s="150">
        <v>0</v>
      </c>
      <c r="AB23" s="150">
        <f>74400.26/1000</f>
        <v>74.40025999999999</v>
      </c>
      <c r="AC23" s="150">
        <v>0</v>
      </c>
      <c r="AD23" s="150"/>
      <c r="AE23" s="150">
        <v>0</v>
      </c>
      <c r="AF23" s="181"/>
      <c r="AG23" s="155"/>
      <c r="AH23" s="156">
        <f>J23+L23+N23+P23+R23+T23+V23+X23+Z23+AB23+AD23+H23</f>
        <v>477.29999999999995</v>
      </c>
    </row>
    <row r="24" spans="1:34" s="152" customFormat="1" ht="20.25">
      <c r="A24" s="148" t="s">
        <v>25</v>
      </c>
      <c r="B24" s="149">
        <f>H24+J24+L24+N24+P24+R24+T24+V24+X24+Z24+AB24+AD24</f>
        <v>311.29999999999995</v>
      </c>
      <c r="C24" s="150">
        <f>H24+J24+L24+N24+P24</f>
        <v>137.20916</v>
      </c>
      <c r="D24" s="150">
        <f>137209.16/1000</f>
        <v>137.20916</v>
      </c>
      <c r="E24" s="150">
        <f>I24+K24+M24+O24+Q24+S24+U24+W24+Y24+AA24+AC24+AE24</f>
        <v>20.51</v>
      </c>
      <c r="F24" s="151">
        <f>E24/B24</f>
        <v>0.06588499839383233</v>
      </c>
      <c r="G24" s="151">
        <f t="shared" si="1"/>
        <v>0.14947981607058888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f>36775.9/1000</f>
        <v>36.7759</v>
      </c>
      <c r="M24" s="150">
        <v>0</v>
      </c>
      <c r="N24" s="150">
        <f>23803.58/1000</f>
        <v>23.80358</v>
      </c>
      <c r="O24" s="150">
        <v>1.73</v>
      </c>
      <c r="P24" s="150">
        <f>44829.68/1000</f>
        <v>44.82968</v>
      </c>
      <c r="Q24" s="150">
        <v>18.78</v>
      </c>
      <c r="R24" s="150">
        <f>23800.58/1000</f>
        <v>23.80058</v>
      </c>
      <c r="S24" s="150">
        <v>0</v>
      </c>
      <c r="T24" s="150">
        <f>44829.69/1000</f>
        <v>44.82969</v>
      </c>
      <c r="U24" s="150">
        <v>0</v>
      </c>
      <c r="V24" s="150">
        <f>23800.59/1000</f>
        <v>23.80059</v>
      </c>
      <c r="W24" s="150">
        <v>0</v>
      </c>
      <c r="X24" s="150">
        <f>44829.69/1000</f>
        <v>44.82969</v>
      </c>
      <c r="Y24" s="150">
        <v>0</v>
      </c>
      <c r="Z24" s="150">
        <f>23800.59/1000</f>
        <v>23.80059</v>
      </c>
      <c r="AA24" s="150">
        <v>0</v>
      </c>
      <c r="AB24" s="150">
        <f>13029.7/1000</f>
        <v>13.0297</v>
      </c>
      <c r="AC24" s="150">
        <v>0</v>
      </c>
      <c r="AD24" s="150">
        <v>0</v>
      </c>
      <c r="AE24" s="150">
        <v>0</v>
      </c>
      <c r="AF24" s="182"/>
      <c r="AG24" s="155"/>
      <c r="AH24" s="156">
        <f>J24+L24+N24+P24+R24+T24+V24+X24+Z24+AB24+AD24+H24</f>
        <v>311.3</v>
      </c>
    </row>
    <row r="25" spans="1:34" s="18" customFormat="1" ht="96" customHeight="1">
      <c r="A25" s="45" t="s">
        <v>120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77" t="s">
        <v>180</v>
      </c>
      <c r="AH25" s="98"/>
    </row>
    <row r="26" spans="1:34" s="18" customFormat="1" ht="18.75">
      <c r="A26" s="117" t="s">
        <v>32</v>
      </c>
      <c r="B26" s="127">
        <f aca="true" t="shared" si="4" ref="B26:AE26">B27</f>
        <v>565.0000000000001</v>
      </c>
      <c r="C26" s="127">
        <f t="shared" si="4"/>
        <v>541.786</v>
      </c>
      <c r="D26" s="127">
        <f t="shared" si="4"/>
        <v>541.786</v>
      </c>
      <c r="E26" s="127">
        <f t="shared" si="4"/>
        <v>62.84</v>
      </c>
      <c r="F26" s="136">
        <f>E26/B26</f>
        <v>0.11122123893805308</v>
      </c>
      <c r="G26" s="136">
        <f>E26/C26</f>
        <v>0.11598675491799347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1.77</v>
      </c>
      <c r="N26" s="128">
        <f t="shared" si="4"/>
        <v>89.648</v>
      </c>
      <c r="O26" s="128">
        <f t="shared" si="4"/>
        <v>21.75</v>
      </c>
      <c r="P26" s="128">
        <f t="shared" si="4"/>
        <v>444.4</v>
      </c>
      <c r="Q26" s="128">
        <f t="shared" si="4"/>
        <v>33.35</v>
      </c>
      <c r="R26" s="128">
        <f t="shared" si="4"/>
        <v>7.738</v>
      </c>
      <c r="S26" s="128">
        <f t="shared" si="4"/>
        <v>0</v>
      </c>
      <c r="T26" s="128">
        <f t="shared" si="4"/>
        <v>0</v>
      </c>
      <c r="U26" s="128">
        <f t="shared" si="4"/>
        <v>0</v>
      </c>
      <c r="V26" s="128">
        <f t="shared" si="4"/>
        <v>7.738</v>
      </c>
      <c r="W26" s="128">
        <f t="shared" si="4"/>
        <v>0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0</v>
      </c>
      <c r="AB26" s="128">
        <f t="shared" si="4"/>
        <v>0</v>
      </c>
      <c r="AC26" s="128">
        <f t="shared" si="4"/>
        <v>0</v>
      </c>
      <c r="AD26" s="128">
        <f t="shared" si="4"/>
        <v>0</v>
      </c>
      <c r="AE26" s="128">
        <f t="shared" si="4"/>
        <v>0</v>
      </c>
      <c r="AF26" s="178"/>
      <c r="AH26" s="98"/>
    </row>
    <row r="27" spans="1:34" s="152" customFormat="1" ht="18.75">
      <c r="A27" s="148" t="s">
        <v>25</v>
      </c>
      <c r="B27" s="149">
        <f>H27+J27+L27+N27+P27+R27+T27+V27+X27+Z27+AB27+AD27</f>
        <v>565.0000000000001</v>
      </c>
      <c r="C27" s="150">
        <f>H27+J27+L27+N27+P27</f>
        <v>541.786</v>
      </c>
      <c r="D27" s="150">
        <f>541786/1000</f>
        <v>541.786</v>
      </c>
      <c r="E27" s="150">
        <f>I27+K27+M27+O27+Q27+S27+U27+W27+Y27+AA27+AC27+AE27</f>
        <v>62.84</v>
      </c>
      <c r="F27" s="151">
        <f>E27/B27</f>
        <v>0.11122123893805308</v>
      </c>
      <c r="G27" s="151">
        <f>E27/C27</f>
        <v>0.11598675491799347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1.77</v>
      </c>
      <c r="N27" s="150">
        <f>89648/1000</f>
        <v>89.648</v>
      </c>
      <c r="O27" s="150">
        <v>21.75</v>
      </c>
      <c r="P27" s="150">
        <f>444400/1000</f>
        <v>444.4</v>
      </c>
      <c r="Q27" s="150">
        <v>33.35</v>
      </c>
      <c r="R27" s="150">
        <f>7738/1000</f>
        <v>7.738</v>
      </c>
      <c r="S27" s="150">
        <v>0</v>
      </c>
      <c r="T27" s="150">
        <v>0</v>
      </c>
      <c r="U27" s="150">
        <v>0</v>
      </c>
      <c r="V27" s="150">
        <f>7738/1000</f>
        <v>7.738</v>
      </c>
      <c r="W27" s="150">
        <v>0</v>
      </c>
      <c r="X27" s="150">
        <v>0</v>
      </c>
      <c r="Y27" s="150">
        <v>0</v>
      </c>
      <c r="Z27" s="150">
        <f>7738/1000</f>
        <v>7.738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79"/>
      <c r="AH27" s="153"/>
    </row>
    <row r="28" spans="1:34" s="18" customFormat="1" ht="37.5">
      <c r="A28" s="45" t="s">
        <v>121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181</v>
      </c>
      <c r="AH28" s="98"/>
    </row>
    <row r="29" spans="1:34" s="18" customFormat="1" ht="20.25">
      <c r="A29" s="117" t="s">
        <v>32</v>
      </c>
      <c r="B29" s="127">
        <f>B30</f>
        <v>1393.3000000000002</v>
      </c>
      <c r="C29" s="127">
        <f aca="true" t="shared" si="5" ref="C29:AE29">C30</f>
        <v>0</v>
      </c>
      <c r="D29" s="127">
        <f t="shared" si="5"/>
        <v>0</v>
      </c>
      <c r="E29" s="127">
        <f t="shared" si="5"/>
        <v>0</v>
      </c>
      <c r="F29" s="136">
        <f>E29/B29</f>
        <v>0</v>
      </c>
      <c r="G29" s="136">
        <v>0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464.45320000000004</v>
      </c>
      <c r="S29" s="127">
        <f t="shared" si="5"/>
        <v>0</v>
      </c>
      <c r="T29" s="127">
        <f t="shared" si="5"/>
        <v>464.4234</v>
      </c>
      <c r="U29" s="127">
        <f t="shared" si="5"/>
        <v>0</v>
      </c>
      <c r="V29" s="127">
        <f t="shared" si="5"/>
        <v>464.4234</v>
      </c>
      <c r="W29" s="127">
        <f t="shared" si="5"/>
        <v>0</v>
      </c>
      <c r="X29" s="127">
        <f t="shared" si="5"/>
        <v>0</v>
      </c>
      <c r="Y29" s="127">
        <f t="shared" si="5"/>
        <v>0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1393.3000000000002</v>
      </c>
      <c r="C30" s="150">
        <f>H30+J30+L30+N30+P30</f>
        <v>0</v>
      </c>
      <c r="D30" s="150">
        <v>0</v>
      </c>
      <c r="E30" s="150">
        <f>I30+K30+M30+O30+Q30+S30+U30+W30+Y30+AA30+AC30+AE30</f>
        <v>0</v>
      </c>
      <c r="F30" s="151">
        <f>E30/B30</f>
        <v>0</v>
      </c>
      <c r="G30" s="151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464453.2/1000</f>
        <v>464.45320000000004</v>
      </c>
      <c r="S30" s="150">
        <v>0</v>
      </c>
      <c r="T30" s="150">
        <f>464423.4/1000</f>
        <v>464.4234</v>
      </c>
      <c r="U30" s="150">
        <v>0</v>
      </c>
      <c r="V30" s="150">
        <f>464423.4/1000</f>
        <v>464.4234</v>
      </c>
      <c r="W30" s="150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83" t="s">
        <v>178</v>
      </c>
      <c r="AG30" s="155"/>
      <c r="AH30" s="156">
        <f>R30+T30+V30</f>
        <v>1393.3000000000002</v>
      </c>
    </row>
    <row r="31" spans="1:34" s="18" customFormat="1" ht="19.5" customHeight="1">
      <c r="A31" s="45" t="s">
        <v>122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83"/>
      <c r="AH31" s="98"/>
    </row>
    <row r="32" spans="1:34" s="18" customFormat="1" ht="18.75">
      <c r="A32" s="117" t="s">
        <v>32</v>
      </c>
      <c r="B32" s="127">
        <f aca="true" t="shared" si="6" ref="B32:AE32">B33</f>
        <v>72.3</v>
      </c>
      <c r="C32" s="127">
        <f t="shared" si="6"/>
        <v>72.3</v>
      </c>
      <c r="D32" s="127">
        <f t="shared" si="6"/>
        <v>72.3</v>
      </c>
      <c r="E32" s="127">
        <f t="shared" si="6"/>
        <v>72.3</v>
      </c>
      <c r="F32" s="136">
        <f>E32/B32</f>
        <v>1</v>
      </c>
      <c r="G32" s="136">
        <v>0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72.3</v>
      </c>
      <c r="O32" s="128">
        <f t="shared" si="6"/>
        <v>0</v>
      </c>
      <c r="P32" s="128">
        <f t="shared" si="6"/>
        <v>0</v>
      </c>
      <c r="Q32" s="128">
        <f t="shared" si="6"/>
        <v>72.3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72.3</v>
      </c>
      <c r="C33" s="150">
        <f>H33+J33+L33+N33+P33</f>
        <v>72.3</v>
      </c>
      <c r="D33" s="150">
        <f>72300/1000</f>
        <v>72.3</v>
      </c>
      <c r="E33" s="150">
        <f>I33+K33+M33+O33+Q33+S33+U33+W33+Y33+AA33+AC33+AE33</f>
        <v>72.3</v>
      </c>
      <c r="F33" s="151">
        <f>E33/B33</f>
        <v>1</v>
      </c>
      <c r="G33" s="151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72300/1000</f>
        <v>72.3</v>
      </c>
      <c r="O33" s="150">
        <v>0</v>
      </c>
      <c r="P33" s="150">
        <v>0</v>
      </c>
      <c r="Q33" s="150">
        <v>72.3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83" t="s">
        <v>174</v>
      </c>
      <c r="AH33" s="153"/>
    </row>
    <row r="34" spans="1:34" s="18" customFormat="1" ht="56.25">
      <c r="A34" s="45" t="s">
        <v>123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83"/>
      <c r="AH34" s="98"/>
    </row>
    <row r="35" spans="1:34" s="18" customFormat="1" ht="18.75">
      <c r="A35" s="117" t="s">
        <v>32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H36+J36+L36+N36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156</v>
      </c>
      <c r="B37" s="132">
        <f>B38+B39</f>
        <v>8983.4</v>
      </c>
      <c r="C37" s="132">
        <f>C38+C39</f>
        <v>1297.4241699999998</v>
      </c>
      <c r="D37" s="132">
        <f aca="true" t="shared" si="8" ref="D37:AE37">D38+D39</f>
        <v>1217.21883</v>
      </c>
      <c r="E37" s="132">
        <f t="shared" si="8"/>
        <v>584.1700000000001</v>
      </c>
      <c r="F37" s="139">
        <f>E37/B37</f>
        <v>0.06502771779059155</v>
      </c>
      <c r="G37" s="139">
        <f>E37/C37</f>
        <v>0.45025367455579324</v>
      </c>
      <c r="H37" s="132">
        <f t="shared" si="8"/>
        <v>65.7896</v>
      </c>
      <c r="I37" s="132">
        <f t="shared" si="8"/>
        <v>0</v>
      </c>
      <c r="J37" s="132">
        <f t="shared" si="8"/>
        <v>75.46415</v>
      </c>
      <c r="K37" s="132">
        <f t="shared" si="8"/>
        <v>54.129999999999995</v>
      </c>
      <c r="L37" s="132">
        <f t="shared" si="8"/>
        <v>192.0091</v>
      </c>
      <c r="M37" s="132">
        <f t="shared" si="8"/>
        <v>95.62</v>
      </c>
      <c r="N37" s="132">
        <f t="shared" si="8"/>
        <v>330.31361</v>
      </c>
      <c r="O37" s="132">
        <f t="shared" si="8"/>
        <v>194.16</v>
      </c>
      <c r="P37" s="132">
        <f t="shared" si="8"/>
        <v>633.8477099999999</v>
      </c>
      <c r="Q37" s="132">
        <f t="shared" si="8"/>
        <v>240.25999999999996</v>
      </c>
      <c r="R37" s="132">
        <f t="shared" si="8"/>
        <v>2380.6828000000005</v>
      </c>
      <c r="S37" s="132">
        <f t="shared" si="8"/>
        <v>0</v>
      </c>
      <c r="T37" s="132">
        <f t="shared" si="8"/>
        <v>2393.84358</v>
      </c>
      <c r="U37" s="132">
        <f t="shared" si="8"/>
        <v>0</v>
      </c>
      <c r="V37" s="132">
        <f t="shared" si="8"/>
        <v>2380.5124800000003</v>
      </c>
      <c r="W37" s="132">
        <f t="shared" si="8"/>
        <v>0</v>
      </c>
      <c r="X37" s="132">
        <f t="shared" si="8"/>
        <v>181.37601999999998</v>
      </c>
      <c r="Y37" s="132">
        <f t="shared" si="8"/>
        <v>0</v>
      </c>
      <c r="Z37" s="132">
        <f>Z38+Z39</f>
        <v>170.12866</v>
      </c>
      <c r="AA37" s="132">
        <f t="shared" si="8"/>
        <v>0</v>
      </c>
      <c r="AB37" s="132">
        <f t="shared" si="8"/>
        <v>179.43229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25"/>
      <c r="AH37" s="98"/>
    </row>
    <row r="38" spans="1:34" s="18" customFormat="1" ht="18.75">
      <c r="A38" s="126" t="s">
        <v>24</v>
      </c>
      <c r="B38" s="133">
        <f>B15+B19+B23</f>
        <v>1415.3</v>
      </c>
      <c r="C38" s="133">
        <f>C15+C19+C23</f>
        <v>234.136</v>
      </c>
      <c r="D38" s="133">
        <f>D15+D19+D23</f>
        <v>153.93066</v>
      </c>
      <c r="E38" s="133">
        <f>E15+E19+E23</f>
        <v>153.63</v>
      </c>
      <c r="F38" s="140">
        <f>E38/B38</f>
        <v>0.10854942415035682</v>
      </c>
      <c r="G38" s="140">
        <f>E38/C38</f>
        <v>0.6561571052721495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36.34055</v>
      </c>
      <c r="K38" s="133">
        <f t="shared" si="9"/>
        <v>9.219999999999999</v>
      </c>
      <c r="L38" s="133">
        <f t="shared" si="9"/>
        <v>73.04611</v>
      </c>
      <c r="M38" s="133">
        <f t="shared" si="9"/>
        <v>51.81</v>
      </c>
      <c r="N38" s="133">
        <f t="shared" si="9"/>
        <v>62.34267</v>
      </c>
      <c r="O38" s="133">
        <f t="shared" si="9"/>
        <v>87.63</v>
      </c>
      <c r="P38" s="133">
        <f t="shared" si="9"/>
        <v>62.40666999999999</v>
      </c>
      <c r="Q38" s="133">
        <f t="shared" si="9"/>
        <v>4.97</v>
      </c>
      <c r="R38" s="133">
        <f t="shared" si="9"/>
        <v>307.204</v>
      </c>
      <c r="S38" s="133">
        <f t="shared" si="9"/>
        <v>0</v>
      </c>
      <c r="T38" s="133">
        <f t="shared" si="9"/>
        <v>91.619</v>
      </c>
      <c r="U38" s="133">
        <f t="shared" si="9"/>
        <v>0</v>
      </c>
      <c r="V38" s="133">
        <f t="shared" si="9"/>
        <v>574.809</v>
      </c>
      <c r="W38" s="133">
        <f t="shared" si="9"/>
        <v>0</v>
      </c>
      <c r="X38" s="133">
        <f t="shared" si="9"/>
        <v>58.544</v>
      </c>
      <c r="Y38" s="133">
        <f t="shared" si="9"/>
        <v>0</v>
      </c>
      <c r="Z38" s="133">
        <f t="shared" si="9"/>
        <v>60.58774</v>
      </c>
      <c r="AA38" s="133">
        <f t="shared" si="9"/>
        <v>0</v>
      </c>
      <c r="AB38" s="133">
        <f t="shared" si="9"/>
        <v>88.40025999999999</v>
      </c>
      <c r="AC38" s="133">
        <f t="shared" si="9"/>
        <v>0</v>
      </c>
      <c r="AD38" s="133">
        <f t="shared" si="9"/>
        <v>0</v>
      </c>
      <c r="AE38" s="133">
        <f t="shared" si="9"/>
        <v>0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7568.1</v>
      </c>
      <c r="C39" s="133">
        <f>C16+C20+C24+C27+C30+C33+C36</f>
        <v>1063.2881699999998</v>
      </c>
      <c r="D39" s="133">
        <f>D16+D20+D24+D27+D30+D33+D36</f>
        <v>1063.28817</v>
      </c>
      <c r="E39" s="133">
        <f>E16+E20+E24+E27+E30+E33+E36</f>
        <v>430.54</v>
      </c>
      <c r="F39" s="140">
        <f>E39/B39</f>
        <v>0.05688878318204041</v>
      </c>
      <c r="G39" s="140">
        <f>E39/C39</f>
        <v>0.40491374976926536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118.96298999999999</v>
      </c>
      <c r="M39" s="133">
        <f t="shared" si="10"/>
        <v>43.81</v>
      </c>
      <c r="N39" s="133">
        <f t="shared" si="10"/>
        <v>267.97094</v>
      </c>
      <c r="O39" s="133">
        <f t="shared" si="10"/>
        <v>106.53</v>
      </c>
      <c r="P39" s="133">
        <f t="shared" si="10"/>
        <v>571.4410399999999</v>
      </c>
      <c r="Q39" s="133">
        <f t="shared" si="10"/>
        <v>235.28999999999996</v>
      </c>
      <c r="R39" s="133">
        <f t="shared" si="10"/>
        <v>2073.4788000000003</v>
      </c>
      <c r="S39" s="133">
        <f t="shared" si="10"/>
        <v>0</v>
      </c>
      <c r="T39" s="133">
        <f t="shared" si="10"/>
        <v>2302.22458</v>
      </c>
      <c r="U39" s="133">
        <f t="shared" si="10"/>
        <v>0</v>
      </c>
      <c r="V39" s="133">
        <f t="shared" si="10"/>
        <v>1805.7034800000001</v>
      </c>
      <c r="W39" s="133">
        <f t="shared" si="10"/>
        <v>0</v>
      </c>
      <c r="X39" s="133">
        <f t="shared" si="10"/>
        <v>122.83202</v>
      </c>
      <c r="Y39" s="133">
        <f t="shared" si="10"/>
        <v>0</v>
      </c>
      <c r="Z39" s="133">
        <f t="shared" si="10"/>
        <v>109.54092</v>
      </c>
      <c r="AA39" s="133">
        <f t="shared" si="10"/>
        <v>0</v>
      </c>
      <c r="AB39" s="133">
        <f t="shared" si="10"/>
        <v>91.03203</v>
      </c>
      <c r="AC39" s="133">
        <f t="shared" si="10"/>
        <v>0</v>
      </c>
      <c r="AD39" s="133">
        <f t="shared" si="10"/>
        <v>0</v>
      </c>
      <c r="AE39" s="133">
        <f t="shared" si="10"/>
        <v>0</v>
      </c>
      <c r="AF39" s="125"/>
      <c r="AH39" s="98"/>
    </row>
    <row r="40" spans="1:34" s="18" customFormat="1" ht="56.25">
      <c r="A40" s="5" t="s">
        <v>124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125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77" t="s">
        <v>175</v>
      </c>
      <c r="AH42" s="98"/>
    </row>
    <row r="43" spans="1:34" s="18" customFormat="1" ht="18.75">
      <c r="A43" s="117" t="s">
        <v>32</v>
      </c>
      <c r="B43" s="127">
        <f aca="true" t="shared" si="11" ref="B43:AE43">B44</f>
        <v>8524.3</v>
      </c>
      <c r="C43" s="127">
        <f t="shared" si="11"/>
        <v>2970</v>
      </c>
      <c r="D43" s="127">
        <f t="shared" si="11"/>
        <v>2970</v>
      </c>
      <c r="E43" s="127">
        <f t="shared" si="11"/>
        <v>2841.98</v>
      </c>
      <c r="F43" s="136">
        <f>E43/B43</f>
        <v>0.3333974637213613</v>
      </c>
      <c r="G43" s="136">
        <f>E43/C43</f>
        <v>0.9568956228956229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753.59</v>
      </c>
      <c r="N43" s="128">
        <f t="shared" si="11"/>
        <v>800</v>
      </c>
      <c r="O43" s="128">
        <f t="shared" si="11"/>
        <v>855.01</v>
      </c>
      <c r="P43" s="128">
        <f t="shared" si="11"/>
        <v>870</v>
      </c>
      <c r="Q43" s="128">
        <f t="shared" si="11"/>
        <v>841.53</v>
      </c>
      <c r="R43" s="128">
        <f t="shared" si="11"/>
        <v>600</v>
      </c>
      <c r="S43" s="128">
        <f t="shared" si="11"/>
        <v>0</v>
      </c>
      <c r="T43" s="128">
        <f t="shared" si="11"/>
        <v>620</v>
      </c>
      <c r="U43" s="128">
        <f t="shared" si="11"/>
        <v>0</v>
      </c>
      <c r="V43" s="128">
        <f t="shared" si="11"/>
        <v>650</v>
      </c>
      <c r="W43" s="128">
        <f t="shared" si="11"/>
        <v>0</v>
      </c>
      <c r="X43" s="128">
        <f t="shared" si="11"/>
        <v>600</v>
      </c>
      <c r="Y43" s="128">
        <f t="shared" si="11"/>
        <v>0</v>
      </c>
      <c r="Z43" s="128">
        <f t="shared" si="11"/>
        <v>850</v>
      </c>
      <c r="AA43" s="128">
        <f t="shared" si="11"/>
        <v>0</v>
      </c>
      <c r="AB43" s="128">
        <f t="shared" si="11"/>
        <v>750</v>
      </c>
      <c r="AC43" s="128">
        <f t="shared" si="11"/>
        <v>0</v>
      </c>
      <c r="AD43" s="128">
        <f t="shared" si="11"/>
        <v>1484.3</v>
      </c>
      <c r="AE43" s="128">
        <f t="shared" si="11"/>
        <v>0</v>
      </c>
      <c r="AF43" s="178"/>
      <c r="AH43" s="98"/>
    </row>
    <row r="44" spans="1:34" s="159" customFormat="1" ht="18.75">
      <c r="A44" s="148" t="s">
        <v>25</v>
      </c>
      <c r="B44" s="149">
        <f>H44+J44+L44+N44+P44+R44+T44+V44+X44+Z44+AB44+AD44</f>
        <v>8524.3</v>
      </c>
      <c r="C44" s="150">
        <f>H44+J44+L44+N44+P44</f>
        <v>2970</v>
      </c>
      <c r="D44" s="150">
        <f>J44+L44+N44+P44</f>
        <v>2970</v>
      </c>
      <c r="E44" s="150">
        <f>I44+K44+M44+O44+Q44+S44+U44+W44+Y44+AA44+AC44+AE44</f>
        <v>2841.98</v>
      </c>
      <c r="F44" s="151">
        <f>E44/B44</f>
        <v>0.3333974637213613</v>
      </c>
      <c r="G44" s="151">
        <f>E44/C44</f>
        <v>0.9568956228956229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753.59</v>
      </c>
      <c r="N44" s="150">
        <v>800</v>
      </c>
      <c r="O44" s="150">
        <v>855.01</v>
      </c>
      <c r="P44" s="150">
        <v>870</v>
      </c>
      <c r="Q44" s="150">
        <v>841.53</v>
      </c>
      <c r="R44" s="150">
        <v>600</v>
      </c>
      <c r="S44" s="150">
        <v>0</v>
      </c>
      <c r="T44" s="150">
        <v>620</v>
      </c>
      <c r="U44" s="150">
        <v>0</v>
      </c>
      <c r="V44" s="150">
        <v>650</v>
      </c>
      <c r="W44" s="150">
        <v>0</v>
      </c>
      <c r="X44" s="150">
        <v>600</v>
      </c>
      <c r="Y44" s="150">
        <v>0</v>
      </c>
      <c r="Z44" s="150">
        <v>850</v>
      </c>
      <c r="AA44" s="150">
        <v>0</v>
      </c>
      <c r="AB44" s="150">
        <v>750</v>
      </c>
      <c r="AC44" s="150">
        <v>0</v>
      </c>
      <c r="AD44" s="150">
        <v>1484.3</v>
      </c>
      <c r="AE44" s="150">
        <v>0</v>
      </c>
      <c r="AF44" s="179"/>
      <c r="AH44" s="160"/>
    </row>
    <row r="45" spans="1:34" s="18" customFormat="1" ht="55.5" customHeight="1">
      <c r="A45" s="114" t="s">
        <v>126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154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70.5" customHeight="1">
      <c r="A48" s="45" t="s">
        <v>152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22" t="s">
        <v>176</v>
      </c>
      <c r="AH48" s="98"/>
    </row>
    <row r="49" spans="1:34" s="18" customFormat="1" ht="18.75">
      <c r="A49" s="117" t="s">
        <v>32</v>
      </c>
      <c r="B49" s="127">
        <f>B50</f>
        <v>218.07</v>
      </c>
      <c r="C49" s="127">
        <f>C50</f>
        <v>0</v>
      </c>
      <c r="D49" s="127">
        <f>D50</f>
        <v>0</v>
      </c>
      <c r="E49" s="127">
        <f aca="true" t="shared" si="12" ref="E49:AE49">E50</f>
        <v>0</v>
      </c>
      <c r="F49" s="136">
        <v>0</v>
      </c>
      <c r="G49" s="136">
        <v>0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218.07</v>
      </c>
      <c r="S49" s="127">
        <f t="shared" si="12"/>
        <v>0</v>
      </c>
      <c r="T49" s="127">
        <f t="shared" si="12"/>
        <v>0</v>
      </c>
      <c r="U49" s="127">
        <f t="shared" si="12"/>
        <v>0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155</v>
      </c>
      <c r="B50" s="149">
        <f>H50+J50+L50+N50+P50+R50+T50+V50+X50+Z50+AB50+AD50</f>
        <v>218.07</v>
      </c>
      <c r="C50" s="150">
        <f>H50+J50+L50+N50+P50</f>
        <v>0</v>
      </c>
      <c r="D50" s="150">
        <v>0</v>
      </c>
      <c r="E50" s="150">
        <f>I50+K50+M50+O50+Q50+S50+U50+W50+Y50+AA50+AC50+AE50</f>
        <v>0</v>
      </c>
      <c r="F50" s="151">
        <v>0</v>
      </c>
      <c r="G50" s="151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f>218070/1000</f>
        <v>218.07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153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75">
      <c r="A53" s="45" t="s">
        <v>151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32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129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157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158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/>
      <c r="AH59" s="98"/>
    </row>
    <row r="60" spans="1:34" s="18" customFormat="1" ht="18.75">
      <c r="A60" s="117" t="s">
        <v>32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159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32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160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 t="s">
        <v>179</v>
      </c>
      <c r="AH65" s="98"/>
    </row>
    <row r="66" spans="1:34" s="18" customFormat="1" ht="18.75">
      <c r="A66" s="117" t="s">
        <v>32</v>
      </c>
      <c r="B66" s="127">
        <f>B67</f>
        <v>40</v>
      </c>
      <c r="C66" s="127">
        <f aca="true" t="shared" si="16" ref="C66:AE66">C67</f>
        <v>25.8</v>
      </c>
      <c r="D66" s="127">
        <f t="shared" si="16"/>
        <v>25.8</v>
      </c>
      <c r="E66" s="127">
        <f t="shared" si="16"/>
        <v>25.1</v>
      </c>
      <c r="F66" s="136">
        <f>E66/B66</f>
        <v>0.6275000000000001</v>
      </c>
      <c r="G66" s="136">
        <v>0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25.1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0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H67+J67+L67+P67</f>
        <v>25.8</v>
      </c>
      <c r="D67" s="150">
        <f>C67</f>
        <v>25.8</v>
      </c>
      <c r="E67" s="150">
        <f>I67+K67+M67+O67+Q67+S67+U67+W67+Y67+AA67+AC67+AE67</f>
        <v>25.1</v>
      </c>
      <c r="F67" s="151">
        <f>E67/B67</f>
        <v>0.6275000000000001</v>
      </c>
      <c r="G67" s="151">
        <v>0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>
        <v>25.1</v>
      </c>
      <c r="R67" s="150"/>
      <c r="S67" s="150"/>
      <c r="T67" s="150">
        <v>14.2</v>
      </c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37.5" customHeight="1">
      <c r="A68" s="109" t="s">
        <v>161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 t="s">
        <v>177</v>
      </c>
      <c r="AH68" s="98"/>
    </row>
    <row r="69" spans="1:34" s="18" customFormat="1" ht="18.75">
      <c r="A69" s="117" t="s">
        <v>32</v>
      </c>
      <c r="B69" s="127">
        <f>B70</f>
        <v>2930.4</v>
      </c>
      <c r="C69" s="127">
        <f>C70</f>
        <v>1309.40744</v>
      </c>
      <c r="D69" s="127">
        <f>D70</f>
        <v>1309.40744</v>
      </c>
      <c r="E69" s="127">
        <f>E70</f>
        <v>1029.43551</v>
      </c>
      <c r="F69" s="136">
        <f>E69/B69</f>
        <v>0.3512952190827191</v>
      </c>
      <c r="G69" s="136">
        <f>E69/C69</f>
        <v>0.786184252931998</v>
      </c>
      <c r="H69" s="127">
        <f aca="true" t="shared" si="17" ref="H69:AE69">H70</f>
        <v>456.256</v>
      </c>
      <c r="I69" s="127">
        <f t="shared" si="17"/>
        <v>313.96285</v>
      </c>
      <c r="J69" s="127">
        <f t="shared" si="17"/>
        <v>225.14579</v>
      </c>
      <c r="K69" s="127">
        <f t="shared" si="17"/>
        <v>160.97418</v>
      </c>
      <c r="L69" s="127">
        <f t="shared" si="17"/>
        <v>93.23003999999999</v>
      </c>
      <c r="M69" s="127">
        <f t="shared" si="17"/>
        <v>170.64538000000002</v>
      </c>
      <c r="N69" s="127">
        <f t="shared" si="17"/>
        <v>225.69409</v>
      </c>
      <c r="O69" s="127">
        <f t="shared" si="17"/>
        <v>211.07138</v>
      </c>
      <c r="P69" s="127">
        <f t="shared" si="17"/>
        <v>309.08152</v>
      </c>
      <c r="Q69" s="127">
        <f t="shared" si="17"/>
        <v>172.78172</v>
      </c>
      <c r="R69" s="127">
        <f t="shared" si="17"/>
        <v>260.41107</v>
      </c>
      <c r="S69" s="127">
        <f t="shared" si="17"/>
        <v>0</v>
      </c>
      <c r="T69" s="127">
        <f t="shared" si="17"/>
        <v>370.17865</v>
      </c>
      <c r="U69" s="127">
        <f t="shared" si="17"/>
        <v>0</v>
      </c>
      <c r="V69" s="127">
        <f t="shared" si="17"/>
        <v>229.37836</v>
      </c>
      <c r="W69" s="127">
        <f t="shared" si="17"/>
        <v>0</v>
      </c>
      <c r="X69" s="127">
        <f t="shared" si="17"/>
        <v>83.13904</v>
      </c>
      <c r="Y69" s="127">
        <f t="shared" si="17"/>
        <v>0</v>
      </c>
      <c r="Z69" s="127">
        <f t="shared" si="17"/>
        <v>287.03415</v>
      </c>
      <c r="AA69" s="127">
        <f t="shared" si="17"/>
        <v>0</v>
      </c>
      <c r="AB69" s="127">
        <f t="shared" si="17"/>
        <v>76.16927</v>
      </c>
      <c r="AC69" s="127">
        <f t="shared" si="17"/>
        <v>0</v>
      </c>
      <c r="AD69" s="127">
        <f t="shared" si="17"/>
        <v>314.68202</v>
      </c>
      <c r="AE69" s="127">
        <f t="shared" si="17"/>
        <v>0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2930.4</v>
      </c>
      <c r="C70" s="150">
        <f>H70+J70+L70+N70+P70</f>
        <v>1309.40744</v>
      </c>
      <c r="D70" s="150">
        <f>H70+J70+L70+N70+P70</f>
        <v>1309.40744</v>
      </c>
      <c r="E70" s="150">
        <f>I70+K70+M70+O70+Q70+S70+U70+W70+Y70+AA70+AC70+AE70</f>
        <v>1029.43551</v>
      </c>
      <c r="F70" s="151">
        <f>E70/B70</f>
        <v>0.3512952190827191</v>
      </c>
      <c r="G70" s="151">
        <f>E70/C70</f>
        <v>0.786184252931998</v>
      </c>
      <c r="H70" s="150">
        <f>456256/1000</f>
        <v>456.256</v>
      </c>
      <c r="I70" s="150">
        <f>313962.85/1000</f>
        <v>313.96285</v>
      </c>
      <c r="J70" s="150">
        <f>225145.79/1000</f>
        <v>225.14579</v>
      </c>
      <c r="K70" s="150">
        <f>160974.18/1000</f>
        <v>160.97418</v>
      </c>
      <c r="L70" s="150">
        <f>93230.04/1000</f>
        <v>93.23003999999999</v>
      </c>
      <c r="M70" s="150">
        <f>170645.38/1000</f>
        <v>170.64538000000002</v>
      </c>
      <c r="N70" s="150">
        <f>225694.09/1000</f>
        <v>225.69409</v>
      </c>
      <c r="O70" s="150">
        <f>211071.38/1000</f>
        <v>211.07138</v>
      </c>
      <c r="P70" s="150">
        <f>309081.52/1000</f>
        <v>309.08152</v>
      </c>
      <c r="Q70" s="150">
        <f>172781.72/1000</f>
        <v>172.78172</v>
      </c>
      <c r="R70" s="150">
        <f>260411.07/1000</f>
        <v>260.41107</v>
      </c>
      <c r="S70" s="150">
        <v>0</v>
      </c>
      <c r="T70" s="150">
        <f>370178.65/1000</f>
        <v>370.17865</v>
      </c>
      <c r="U70" s="150">
        <v>0</v>
      </c>
      <c r="V70" s="150">
        <f>229378.36/1000</f>
        <v>229.37836</v>
      </c>
      <c r="W70" s="150">
        <v>0</v>
      </c>
      <c r="X70" s="150">
        <f>83139.04/1000</f>
        <v>83.13904</v>
      </c>
      <c r="Y70" s="150">
        <v>0</v>
      </c>
      <c r="Z70" s="150">
        <f>287034.15/1000</f>
        <v>287.03415</v>
      </c>
      <c r="AA70" s="150">
        <v>0</v>
      </c>
      <c r="AB70" s="150">
        <f>76169.27/1000</f>
        <v>76.16927</v>
      </c>
      <c r="AC70" s="150">
        <v>0</v>
      </c>
      <c r="AD70" s="150">
        <f>314682.02/1000</f>
        <v>314.68202</v>
      </c>
      <c r="AE70" s="150">
        <v>0</v>
      </c>
      <c r="AF70" s="162"/>
      <c r="AH70" s="153"/>
    </row>
    <row r="71" spans="1:34" s="18" customFormat="1" ht="56.25">
      <c r="A71" s="5" t="s">
        <v>162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163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32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164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32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33</v>
      </c>
      <c r="B79" s="127">
        <f>B81+B82+B80</f>
        <v>20696.17</v>
      </c>
      <c r="C79" s="127">
        <f>C81+C82+C80</f>
        <v>5602.63161</v>
      </c>
      <c r="D79" s="127">
        <f>D81+D82+D80</f>
        <v>5522.42627</v>
      </c>
      <c r="E79" s="127">
        <f>E81+E82+E80</f>
        <v>4480.685509999999</v>
      </c>
      <c r="F79" s="142">
        <f>E79/B79</f>
        <v>0.21649829461199824</v>
      </c>
      <c r="G79" s="142">
        <f>E79/C79</f>
        <v>0.7997465873006059</v>
      </c>
      <c r="H79" s="127">
        <f>H81+H82+H80</f>
        <v>522.0455999999999</v>
      </c>
      <c r="I79" s="127">
        <f aca="true" t="shared" si="20" ref="I79:AE79">I81+I82+I80</f>
        <v>313.96285</v>
      </c>
      <c r="J79" s="127">
        <f t="shared" si="20"/>
        <v>900.60994</v>
      </c>
      <c r="K79" s="127">
        <f t="shared" si="20"/>
        <v>606.95418</v>
      </c>
      <c r="L79" s="127">
        <f t="shared" si="20"/>
        <v>985.2391399999999</v>
      </c>
      <c r="M79" s="127">
        <f t="shared" si="20"/>
        <v>1019.8553800000001</v>
      </c>
      <c r="N79" s="127">
        <f t="shared" si="20"/>
        <v>1356.0076999999999</v>
      </c>
      <c r="O79" s="127">
        <f t="shared" si="20"/>
        <v>1260.24138</v>
      </c>
      <c r="P79" s="127">
        <f t="shared" si="20"/>
        <v>1838.72923</v>
      </c>
      <c r="Q79" s="127">
        <f t="shared" si="20"/>
        <v>1279.6717199999998</v>
      </c>
      <c r="R79" s="127">
        <f t="shared" si="20"/>
        <v>3459.1638700000003</v>
      </c>
      <c r="S79" s="127">
        <f t="shared" si="20"/>
        <v>0</v>
      </c>
      <c r="T79" s="127">
        <f t="shared" si="20"/>
        <v>3398.22223</v>
      </c>
      <c r="U79" s="127">
        <f t="shared" si="20"/>
        <v>0</v>
      </c>
      <c r="V79" s="127">
        <f t="shared" si="20"/>
        <v>3259.89084</v>
      </c>
      <c r="W79" s="127">
        <f t="shared" si="20"/>
        <v>0</v>
      </c>
      <c r="X79" s="127">
        <f t="shared" si="20"/>
        <v>864.5150600000001</v>
      </c>
      <c r="Y79" s="127">
        <f t="shared" si="20"/>
        <v>0</v>
      </c>
      <c r="Z79" s="127">
        <f t="shared" si="20"/>
        <v>1307.16281</v>
      </c>
      <c r="AA79" s="127">
        <f t="shared" si="20"/>
        <v>0</v>
      </c>
      <c r="AB79" s="127">
        <f t="shared" si="20"/>
        <v>1005.60156</v>
      </c>
      <c r="AC79" s="127">
        <f t="shared" si="20"/>
        <v>0</v>
      </c>
      <c r="AD79" s="127">
        <f t="shared" si="20"/>
        <v>1798.98202</v>
      </c>
      <c r="AE79" s="127">
        <f t="shared" si="20"/>
        <v>0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4345.7</v>
      </c>
      <c r="C80" s="144">
        <f>C15+C19+C23+C55+C70</f>
        <v>1543.54344</v>
      </c>
      <c r="D80" s="144">
        <f>D15+D19+D23+D55+D70</f>
        <v>1463.3381</v>
      </c>
      <c r="E80" s="144">
        <f>E15+E19+E23+E55+E70</f>
        <v>1183.06551</v>
      </c>
      <c r="F80" s="145">
        <f>E80/B80</f>
        <v>0.27223819177577835</v>
      </c>
      <c r="G80" s="145">
        <f>E80/C80</f>
        <v>0.7664607806567465</v>
      </c>
      <c r="H80" s="144">
        <f>H15+H19+H23+H55+H70</f>
        <v>456.256</v>
      </c>
      <c r="I80" s="144">
        <f aca="true" t="shared" si="21" ref="I80:AE80">I15+I19+I23+I55+I70</f>
        <v>313.96285</v>
      </c>
      <c r="J80" s="144">
        <f t="shared" si="21"/>
        <v>261.48634</v>
      </c>
      <c r="K80" s="144">
        <f t="shared" si="21"/>
        <v>170.19418</v>
      </c>
      <c r="L80" s="144">
        <f t="shared" si="21"/>
        <v>166.27614999999997</v>
      </c>
      <c r="M80" s="144">
        <f t="shared" si="21"/>
        <v>222.45538000000002</v>
      </c>
      <c r="N80" s="144">
        <f t="shared" si="21"/>
        <v>288.03675999999996</v>
      </c>
      <c r="O80" s="144">
        <f t="shared" si="21"/>
        <v>298.70138</v>
      </c>
      <c r="P80" s="144">
        <f t="shared" si="21"/>
        <v>371.48819000000003</v>
      </c>
      <c r="Q80" s="144">
        <f t="shared" si="21"/>
        <v>177.75172</v>
      </c>
      <c r="R80" s="144">
        <f t="shared" si="21"/>
        <v>567.6150700000001</v>
      </c>
      <c r="S80" s="144">
        <f t="shared" si="21"/>
        <v>0</v>
      </c>
      <c r="T80" s="144">
        <f t="shared" si="21"/>
        <v>461.79765</v>
      </c>
      <c r="U80" s="144">
        <f t="shared" si="21"/>
        <v>0</v>
      </c>
      <c r="V80" s="144">
        <f t="shared" si="21"/>
        <v>804.1873599999999</v>
      </c>
      <c r="W80" s="144">
        <f t="shared" si="21"/>
        <v>0</v>
      </c>
      <c r="X80" s="144">
        <f t="shared" si="21"/>
        <v>141.68304</v>
      </c>
      <c r="Y80" s="144">
        <f t="shared" si="21"/>
        <v>0</v>
      </c>
      <c r="Z80" s="144">
        <f t="shared" si="21"/>
        <v>347.62189</v>
      </c>
      <c r="AA80" s="144">
        <f t="shared" si="21"/>
        <v>0</v>
      </c>
      <c r="AB80" s="144">
        <f t="shared" si="21"/>
        <v>164.56953</v>
      </c>
      <c r="AC80" s="144">
        <f t="shared" si="21"/>
        <v>0</v>
      </c>
      <c r="AD80" s="144">
        <f t="shared" si="21"/>
        <v>314.68202</v>
      </c>
      <c r="AE80" s="144">
        <f t="shared" si="21"/>
        <v>0</v>
      </c>
      <c r="AF80" s="163"/>
      <c r="AH80" s="147"/>
    </row>
    <row r="81" spans="1:34" s="146" customFormat="1" ht="18.75">
      <c r="A81" s="143" t="s">
        <v>155</v>
      </c>
      <c r="B81" s="144">
        <f>B50</f>
        <v>218.07</v>
      </c>
      <c r="C81" s="144">
        <f>C50</f>
        <v>0</v>
      </c>
      <c r="D81" s="144">
        <f>D50</f>
        <v>0</v>
      </c>
      <c r="E81" s="144">
        <f>E50</f>
        <v>0</v>
      </c>
      <c r="F81" s="145">
        <v>0</v>
      </c>
      <c r="G81" s="145">
        <v>0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218.07</v>
      </c>
      <c r="S81" s="144">
        <f t="shared" si="22"/>
        <v>0</v>
      </c>
      <c r="T81" s="144">
        <f t="shared" si="22"/>
        <v>0</v>
      </c>
      <c r="U81" s="144">
        <f t="shared" si="22"/>
        <v>0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16132.4</v>
      </c>
      <c r="C82" s="144">
        <f>C16+C20+C24+C27+C30+C33+C44+C64+C36+C61+C67+C75+C78</f>
        <v>4059.08817</v>
      </c>
      <c r="D82" s="144">
        <f>D16+D20+D24+D27+D30+D33+D44+D64+D36+D61+D67+D75+D78</f>
        <v>4059.08817</v>
      </c>
      <c r="E82" s="144">
        <f>E16+E20+E24+E27+E30+E33+E44+E64+E36+E61+E67+E75+E78</f>
        <v>3297.62</v>
      </c>
      <c r="F82" s="145">
        <f>E82/B82</f>
        <v>0.2044097592422702</v>
      </c>
      <c r="G82" s="145">
        <f>E82/C82</f>
        <v>0.8124041316402348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818.96299</v>
      </c>
      <c r="M82" s="144">
        <f t="shared" si="23"/>
        <v>797.4000000000001</v>
      </c>
      <c r="N82" s="144">
        <f t="shared" si="23"/>
        <v>1067.97094</v>
      </c>
      <c r="O82" s="144">
        <f t="shared" si="23"/>
        <v>961.54</v>
      </c>
      <c r="P82" s="144">
        <f t="shared" si="23"/>
        <v>1467.2410399999999</v>
      </c>
      <c r="Q82" s="144">
        <f t="shared" si="23"/>
        <v>1101.9199999999998</v>
      </c>
      <c r="R82" s="144">
        <f t="shared" si="23"/>
        <v>2673.4788000000003</v>
      </c>
      <c r="S82" s="144">
        <f t="shared" si="23"/>
        <v>0</v>
      </c>
      <c r="T82" s="144">
        <f t="shared" si="23"/>
        <v>2936.42458</v>
      </c>
      <c r="U82" s="144">
        <f t="shared" si="23"/>
        <v>0</v>
      </c>
      <c r="V82" s="144">
        <f t="shared" si="23"/>
        <v>2455.70348</v>
      </c>
      <c r="W82" s="144">
        <f t="shared" si="23"/>
        <v>0</v>
      </c>
      <c r="X82" s="144">
        <f t="shared" si="23"/>
        <v>722.83202</v>
      </c>
      <c r="Y82" s="144">
        <f t="shared" si="23"/>
        <v>0</v>
      </c>
      <c r="Z82" s="144">
        <f t="shared" si="23"/>
        <v>959.54092</v>
      </c>
      <c r="AA82" s="144">
        <f t="shared" si="23"/>
        <v>0</v>
      </c>
      <c r="AB82" s="144">
        <f t="shared" si="23"/>
        <v>841.03203</v>
      </c>
      <c r="AC82" s="144">
        <f t="shared" si="23"/>
        <v>0</v>
      </c>
      <c r="AD82" s="144">
        <f t="shared" si="23"/>
        <v>1484.3</v>
      </c>
      <c r="AE82" s="144">
        <f t="shared" si="23"/>
        <v>0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170</v>
      </c>
      <c r="AA85" s="66"/>
      <c r="AB85" s="66"/>
      <c r="AD85" s="53" t="s">
        <v>171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149</v>
      </c>
      <c r="Y89" s="63" t="s">
        <v>165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  <mergeCell ref="AF17:AF20"/>
    <mergeCell ref="L5:M5"/>
    <mergeCell ref="N5:O5"/>
    <mergeCell ref="P5:Q5"/>
    <mergeCell ref="R5:S5"/>
    <mergeCell ref="V5:W5"/>
    <mergeCell ref="X5:Y5"/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0" r:id="rId3"/>
  <rowBreaks count="2" manualBreakCount="2">
    <brk id="41" max="31" man="1"/>
    <brk id="89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5" t="s">
        <v>40</v>
      </c>
      <c r="C6" s="165"/>
      <c r="D6" s="165"/>
      <c r="E6" s="165"/>
      <c r="F6" s="165"/>
      <c r="G6" s="165"/>
      <c r="H6" s="165"/>
      <c r="I6" s="165"/>
      <c r="J6" s="165"/>
    </row>
    <row r="7" s="25" customFormat="1" ht="12.75"/>
    <row r="8" spans="2:10" s="25" customFormat="1" ht="12.75">
      <c r="B8" s="196" t="s">
        <v>41</v>
      </c>
      <c r="C8" s="196" t="s">
        <v>5</v>
      </c>
      <c r="D8" s="196" t="s">
        <v>42</v>
      </c>
      <c r="E8" s="196" t="s">
        <v>43</v>
      </c>
      <c r="F8" s="196" t="s">
        <v>44</v>
      </c>
      <c r="G8" s="196"/>
      <c r="H8" s="196"/>
      <c r="I8" s="196"/>
      <c r="J8" s="196" t="s">
        <v>45</v>
      </c>
    </row>
    <row r="9" spans="2:10" s="25" customFormat="1" ht="12.75">
      <c r="B9" s="196"/>
      <c r="C9" s="196"/>
      <c r="D9" s="196"/>
      <c r="E9" s="196"/>
      <c r="F9" s="196" t="s">
        <v>46</v>
      </c>
      <c r="G9" s="196" t="s">
        <v>47</v>
      </c>
      <c r="H9" s="196"/>
      <c r="I9" s="196"/>
      <c r="J9" s="196"/>
    </row>
    <row r="10" spans="2:10" s="25" customFormat="1" ht="15.75" customHeight="1">
      <c r="B10" s="196"/>
      <c r="C10" s="196"/>
      <c r="D10" s="196"/>
      <c r="E10" s="196"/>
      <c r="F10" s="196"/>
      <c r="G10" s="33" t="s">
        <v>48</v>
      </c>
      <c r="H10" s="33" t="s">
        <v>49</v>
      </c>
      <c r="I10" s="33" t="s">
        <v>50</v>
      </c>
      <c r="J10" s="196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94" t="s">
        <v>51</v>
      </c>
      <c r="C12" s="194"/>
      <c r="D12" s="194"/>
      <c r="E12" s="194"/>
      <c r="F12" s="194"/>
      <c r="G12" s="194"/>
      <c r="H12" s="194"/>
      <c r="I12" s="194"/>
      <c r="J12" s="194"/>
    </row>
    <row r="13" spans="2:10" s="25" customFormat="1" ht="24.75" customHeight="1">
      <c r="B13" s="194" t="s">
        <v>52</v>
      </c>
      <c r="C13" s="194"/>
      <c r="D13" s="194"/>
      <c r="E13" s="194"/>
      <c r="F13" s="194"/>
      <c r="G13" s="194"/>
      <c r="H13" s="194"/>
      <c r="I13" s="194"/>
      <c r="J13" s="194"/>
    </row>
    <row r="14" spans="2:10" s="25" customFormat="1" ht="25.5" customHeight="1">
      <c r="B14" s="197" t="s">
        <v>53</v>
      </c>
      <c r="C14" s="198"/>
      <c r="D14" s="198"/>
      <c r="E14" s="198"/>
      <c r="F14" s="198"/>
      <c r="G14" s="198"/>
      <c r="H14" s="198"/>
      <c r="I14" s="198"/>
      <c r="J14" s="199"/>
    </row>
    <row r="15" spans="2:13" s="25" customFormat="1" ht="12.75">
      <c r="B15" s="203" t="s">
        <v>54</v>
      </c>
      <c r="C15" s="187" t="s">
        <v>55</v>
      </c>
      <c r="D15" s="190" t="s">
        <v>56</v>
      </c>
      <c r="E15" s="190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04"/>
      <c r="C16" s="188"/>
      <c r="D16" s="191"/>
      <c r="E16" s="191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05"/>
      <c r="C17" s="189"/>
      <c r="D17" s="192"/>
      <c r="E17" s="192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03" t="s">
        <v>62</v>
      </c>
      <c r="C19" s="187" t="s">
        <v>63</v>
      </c>
      <c r="D19" s="190" t="s">
        <v>56</v>
      </c>
      <c r="E19" s="190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04"/>
      <c r="C20" s="188"/>
      <c r="D20" s="191"/>
      <c r="E20" s="191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05"/>
      <c r="C21" s="189"/>
      <c r="D21" s="192"/>
      <c r="E21" s="192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96" t="s">
        <v>73</v>
      </c>
      <c r="G25" s="196"/>
      <c r="H25" s="196"/>
      <c r="I25" s="196"/>
      <c r="J25" s="196"/>
      <c r="M25" s="36"/>
    </row>
    <row r="26" spans="2:13" s="25" customFormat="1" ht="18.75" customHeight="1">
      <c r="B26" s="190"/>
      <c r="C26" s="187" t="s">
        <v>74</v>
      </c>
      <c r="D26" s="190" t="s">
        <v>56</v>
      </c>
      <c r="E26" s="190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191"/>
      <c r="C27" s="188"/>
      <c r="D27" s="191"/>
      <c r="E27" s="191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192"/>
      <c r="C28" s="189"/>
      <c r="D28" s="192"/>
      <c r="E28" s="192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94" t="s">
        <v>75</v>
      </c>
      <c r="C29" s="194"/>
      <c r="D29" s="194"/>
      <c r="E29" s="194"/>
      <c r="F29" s="194"/>
      <c r="G29" s="194"/>
      <c r="H29" s="194"/>
      <c r="I29" s="194"/>
      <c r="J29" s="194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00"/>
      <c r="C32" s="187" t="s">
        <v>80</v>
      </c>
      <c r="D32" s="184"/>
      <c r="E32" s="190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01"/>
      <c r="C33" s="188"/>
      <c r="D33" s="185"/>
      <c r="E33" s="191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02"/>
      <c r="C34" s="189"/>
      <c r="D34" s="186"/>
      <c r="E34" s="192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97" t="s">
        <v>81</v>
      </c>
      <c r="C35" s="198"/>
      <c r="D35" s="198"/>
      <c r="E35" s="198"/>
      <c r="F35" s="198"/>
      <c r="G35" s="198"/>
      <c r="H35" s="198"/>
      <c r="I35" s="198"/>
      <c r="J35" s="199"/>
      <c r="M35" s="36"/>
    </row>
    <row r="36" spans="2:13" ht="27" customHeight="1">
      <c r="B36" s="197" t="s">
        <v>82</v>
      </c>
      <c r="C36" s="198"/>
      <c r="D36" s="198"/>
      <c r="E36" s="198"/>
      <c r="F36" s="198"/>
      <c r="G36" s="198"/>
      <c r="H36" s="198"/>
      <c r="I36" s="198"/>
      <c r="J36" s="199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97" t="s">
        <v>88</v>
      </c>
      <c r="C40" s="198"/>
      <c r="D40" s="198"/>
      <c r="E40" s="198"/>
      <c r="F40" s="198"/>
      <c r="G40" s="198"/>
      <c r="H40" s="198"/>
      <c r="I40" s="198"/>
      <c r="J40" s="199"/>
      <c r="M40" s="36"/>
    </row>
    <row r="41" spans="2:13" ht="26.25" customHeight="1">
      <c r="B41" s="197" t="s">
        <v>89</v>
      </c>
      <c r="C41" s="198"/>
      <c r="D41" s="198"/>
      <c r="E41" s="198"/>
      <c r="F41" s="198"/>
      <c r="G41" s="198"/>
      <c r="H41" s="198"/>
      <c r="I41" s="198"/>
      <c r="J41" s="199"/>
      <c r="M41" s="36"/>
    </row>
    <row r="42" spans="2:13" ht="27.75" customHeight="1">
      <c r="B42" s="194" t="s">
        <v>90</v>
      </c>
      <c r="C42" s="194"/>
      <c r="D42" s="194"/>
      <c r="E42" s="194"/>
      <c r="F42" s="194"/>
      <c r="G42" s="194"/>
      <c r="H42" s="194"/>
      <c r="I42" s="194"/>
      <c r="J42" s="194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96" t="s">
        <v>73</v>
      </c>
      <c r="G43" s="196"/>
      <c r="H43" s="196"/>
      <c r="I43" s="196"/>
      <c r="J43" s="196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96"/>
      <c r="C47" s="187" t="s">
        <v>102</v>
      </c>
      <c r="D47" s="196" t="s">
        <v>93</v>
      </c>
      <c r="E47" s="196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96"/>
      <c r="C48" s="188"/>
      <c r="D48" s="196"/>
      <c r="E48" s="196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96"/>
      <c r="C49" s="189"/>
      <c r="D49" s="196"/>
      <c r="E49" s="196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94" t="s">
        <v>103</v>
      </c>
      <c r="C50" s="194"/>
      <c r="D50" s="194"/>
      <c r="E50" s="194"/>
      <c r="F50" s="194"/>
      <c r="G50" s="194"/>
      <c r="H50" s="194"/>
      <c r="I50" s="194"/>
      <c r="J50" s="194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96" t="s">
        <v>73</v>
      </c>
      <c r="G51" s="196"/>
      <c r="H51" s="196"/>
      <c r="I51" s="196"/>
      <c r="J51" s="196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96" t="s">
        <v>73</v>
      </c>
      <c r="G52" s="196"/>
      <c r="H52" s="196"/>
      <c r="I52" s="196"/>
      <c r="J52" s="196"/>
      <c r="M52" s="36"/>
    </row>
    <row r="53" spans="2:13" ht="15.75" customHeight="1">
      <c r="B53" s="195"/>
      <c r="C53" s="194" t="s">
        <v>108</v>
      </c>
      <c r="D53" s="196" t="s">
        <v>93</v>
      </c>
      <c r="E53" s="196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195"/>
      <c r="C54" s="194"/>
      <c r="D54" s="196"/>
      <c r="E54" s="196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195"/>
      <c r="C55" s="194"/>
      <c r="D55" s="196"/>
      <c r="E55" s="196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193"/>
      <c r="C56" s="194" t="s">
        <v>109</v>
      </c>
      <c r="D56" s="195"/>
      <c r="E56" s="196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193"/>
      <c r="C57" s="194"/>
      <c r="D57" s="195"/>
      <c r="E57" s="196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193"/>
      <c r="C58" s="194"/>
      <c r="D58" s="195"/>
      <c r="E58" s="196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195"/>
      <c r="C60" s="194" t="s">
        <v>111</v>
      </c>
      <c r="D60" s="195"/>
      <c r="E60" s="196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195"/>
      <c r="C61" s="194"/>
      <c r="D61" s="195"/>
      <c r="E61" s="196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195"/>
      <c r="C62" s="194"/>
      <c r="D62" s="195"/>
      <c r="E62" s="196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184"/>
      <c r="C63" s="187" t="s">
        <v>112</v>
      </c>
      <c r="D63" s="184"/>
      <c r="E63" s="190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185"/>
      <c r="C64" s="188"/>
      <c r="D64" s="185"/>
      <c r="E64" s="191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186"/>
      <c r="C65" s="189"/>
      <c r="D65" s="186"/>
      <c r="E65" s="192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70"/>
      <c r="G1" s="170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0" t="s">
        <v>27</v>
      </c>
      <c r="O2" s="170"/>
      <c r="P2" s="170"/>
      <c r="Q2" s="170"/>
      <c r="R2" s="170"/>
    </row>
    <row r="3" spans="1:31" ht="26.25" customHeight="1">
      <c r="A3" s="23"/>
      <c r="N3" s="171" t="s">
        <v>35</v>
      </c>
      <c r="O3" s="171"/>
      <c r="P3" s="171"/>
      <c r="Q3" s="171"/>
      <c r="R3" s="171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72" t="s">
        <v>5</v>
      </c>
      <c r="B5" s="173" t="s">
        <v>23</v>
      </c>
      <c r="C5" s="173" t="s">
        <v>19</v>
      </c>
      <c r="D5" s="173" t="s">
        <v>20</v>
      </c>
      <c r="E5" s="176" t="s">
        <v>15</v>
      </c>
      <c r="F5" s="176"/>
      <c r="G5" s="176" t="s">
        <v>0</v>
      </c>
      <c r="H5" s="176"/>
      <c r="I5" s="176" t="s">
        <v>1</v>
      </c>
      <c r="J5" s="176"/>
      <c r="K5" s="176" t="s">
        <v>2</v>
      </c>
      <c r="L5" s="176"/>
      <c r="M5" s="176" t="s">
        <v>3</v>
      </c>
      <c r="N5" s="176"/>
      <c r="O5" s="176" t="s">
        <v>4</v>
      </c>
      <c r="P5" s="176"/>
      <c r="Q5" s="176" t="s">
        <v>6</v>
      </c>
      <c r="R5" s="176"/>
      <c r="S5" s="176" t="s">
        <v>7</v>
      </c>
      <c r="T5" s="176"/>
      <c r="U5" s="176" t="s">
        <v>8</v>
      </c>
      <c r="V5" s="176"/>
      <c r="W5" s="176" t="s">
        <v>9</v>
      </c>
      <c r="X5" s="176"/>
      <c r="Y5" s="176" t="s">
        <v>10</v>
      </c>
      <c r="Z5" s="176"/>
      <c r="AA5" s="176" t="s">
        <v>11</v>
      </c>
      <c r="AB5" s="176"/>
      <c r="AC5" s="176" t="s">
        <v>12</v>
      </c>
      <c r="AD5" s="176"/>
      <c r="AE5" s="172" t="s">
        <v>21</v>
      </c>
      <c r="AG5" s="76"/>
      <c r="AH5" s="76"/>
    </row>
    <row r="6" spans="1:34" s="13" customFormat="1" ht="84" customHeight="1">
      <c r="A6" s="172"/>
      <c r="B6" s="174"/>
      <c r="C6" s="174"/>
      <c r="D6" s="17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2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70"/>
      <c r="G1" s="170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0" t="s">
        <v>27</v>
      </c>
      <c r="O2" s="170"/>
      <c r="P2" s="170"/>
      <c r="Q2" s="170"/>
      <c r="R2" s="170"/>
    </row>
    <row r="3" spans="1:31" ht="26.25" customHeight="1">
      <c r="A3" s="23"/>
      <c r="N3" s="171" t="s">
        <v>35</v>
      </c>
      <c r="O3" s="171"/>
      <c r="P3" s="171"/>
      <c r="Q3" s="171"/>
      <c r="R3" s="171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72" t="s">
        <v>5</v>
      </c>
      <c r="B5" s="173" t="s">
        <v>23</v>
      </c>
      <c r="C5" s="173" t="s">
        <v>19</v>
      </c>
      <c r="D5" s="173" t="s">
        <v>20</v>
      </c>
      <c r="E5" s="176" t="s">
        <v>15</v>
      </c>
      <c r="F5" s="176"/>
      <c r="G5" s="176" t="s">
        <v>0</v>
      </c>
      <c r="H5" s="176"/>
      <c r="I5" s="176" t="s">
        <v>1</v>
      </c>
      <c r="J5" s="176"/>
      <c r="K5" s="176" t="s">
        <v>2</v>
      </c>
      <c r="L5" s="176"/>
      <c r="M5" s="176" t="s">
        <v>3</v>
      </c>
      <c r="N5" s="176"/>
      <c r="O5" s="176" t="s">
        <v>4</v>
      </c>
      <c r="P5" s="176"/>
      <c r="Q5" s="176" t="s">
        <v>6</v>
      </c>
      <c r="R5" s="176"/>
      <c r="S5" s="176" t="s">
        <v>7</v>
      </c>
      <c r="T5" s="176"/>
      <c r="U5" s="176" t="s">
        <v>8</v>
      </c>
      <c r="V5" s="176"/>
      <c r="W5" s="176" t="s">
        <v>9</v>
      </c>
      <c r="X5" s="176"/>
      <c r="Y5" s="176" t="s">
        <v>10</v>
      </c>
      <c r="Z5" s="176"/>
      <c r="AA5" s="176" t="s">
        <v>11</v>
      </c>
      <c r="AB5" s="176"/>
      <c r="AC5" s="176" t="s">
        <v>12</v>
      </c>
      <c r="AD5" s="176"/>
      <c r="AE5" s="172" t="s">
        <v>21</v>
      </c>
    </row>
    <row r="6" spans="1:31" s="13" customFormat="1" ht="84" customHeight="1">
      <c r="A6" s="172"/>
      <c r="B6" s="174"/>
      <c r="C6" s="174"/>
      <c r="D6" s="17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2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2015-06-04T07:08:29Z</cp:lastPrinted>
  <dcterms:created xsi:type="dcterms:W3CDTF">1996-10-08T23:32:33Z</dcterms:created>
  <dcterms:modified xsi:type="dcterms:W3CDTF">2015-06-05T09:23:51Z</dcterms:modified>
  <cp:category/>
  <cp:version/>
  <cp:contentType/>
  <cp:contentStatus/>
</cp:coreProperties>
</file>